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0" yWindow="2140" windowWidth="16300" windowHeight="19380" tabRatio="401" firstSheet="1" activeTab="1"/>
  </bookViews>
  <sheets>
    <sheet name="Instructions" sheetId="1" r:id="rId1"/>
    <sheet name="Analysis Spreadsheet" sheetId="2" r:id="rId2"/>
    <sheet name="Amortization" sheetId="3" r:id="rId3"/>
  </sheets>
  <definedNames>
    <definedName name="beginning_balance">'Amortization'!$E$15:$E$33</definedName>
    <definedName name="interest">'Amortization'!$F$15:$F$33</definedName>
    <definedName name="interest_only">'Amortization'!$H$5</definedName>
    <definedName name="no_of_payments">'Amortization'!$E$11</definedName>
    <definedName name="payment">'Amortization'!$E$10</definedName>
    <definedName name="period">'Amortization'!$E$8</definedName>
    <definedName name="principal">'Amortization'!$E$5</definedName>
    <definedName name="rate">'Amortization'!$E$6</definedName>
  </definedNames>
  <calcPr fullCalcOnLoad="1"/>
</workbook>
</file>

<file path=xl/sharedStrings.xml><?xml version="1.0" encoding="utf-8"?>
<sst xmlns="http://schemas.openxmlformats.org/spreadsheetml/2006/main" count="152" uniqueCount="132">
  <si>
    <t>1st</t>
  </si>
  <si>
    <t>2nd</t>
  </si>
  <si>
    <t>Total</t>
  </si>
  <si>
    <t>Term(yrs)</t>
  </si>
  <si>
    <t>Down Pmt</t>
  </si>
  <si>
    <t>%</t>
  </si>
  <si>
    <t>% Down</t>
  </si>
  <si>
    <t>Cash In</t>
  </si>
  <si>
    <t>Gross Cap</t>
  </si>
  <si>
    <t>Mnth GRM</t>
  </si>
  <si>
    <t>(higher is better)</t>
  </si>
  <si>
    <t>(lower is better)</t>
  </si>
  <si>
    <t>Landscaping</t>
  </si>
  <si>
    <t>Other Income (e.g. laundry)</t>
  </si>
  <si>
    <t>Maintenance &amp; Repairs</t>
  </si>
  <si>
    <t>Garbage</t>
  </si>
  <si>
    <t>Payroll: Resident Manger/month</t>
  </si>
  <si>
    <t>Taxes:  Worker's Comp</t>
  </si>
  <si>
    <t>Yearly Operating Expenses</t>
  </si>
  <si>
    <t>Gas &amp; Electricity</t>
  </si>
  <si>
    <t/>
  </si>
  <si>
    <t xml:space="preserve">Vacancy Rate </t>
  </si>
  <si>
    <t>NET OPERATING INCOME (NOI)</t>
  </si>
  <si>
    <t>CF/Yr</t>
  </si>
  <si>
    <t>CF/Mo</t>
  </si>
  <si>
    <t>Return (ROI)</t>
  </si>
  <si>
    <t>REAL ESTATE INVESTMENT ANALYSIS SPREADSHEET</t>
  </si>
  <si>
    <t>ROI with Equity</t>
  </si>
  <si>
    <t>Value Appreciation</t>
  </si>
  <si>
    <t>This is the total operating expenses subtracted from the gross operating income.</t>
  </si>
  <si>
    <t>Net Operating Income</t>
  </si>
  <si>
    <t>Yearly Rent</t>
  </si>
  <si>
    <t>Interest (Year 1)</t>
  </si>
  <si>
    <t>After-Tax Cash Flow</t>
  </si>
  <si>
    <t>Adj. CF/Yr</t>
  </si>
  <si>
    <t>Adj. CF/Mo</t>
  </si>
  <si>
    <t>Tax Brakcet</t>
  </si>
  <si>
    <t>Tax Savings</t>
  </si>
  <si>
    <t>Depreciation (per year)</t>
  </si>
  <si>
    <t>Gain/Loss</t>
  </si>
  <si>
    <t>Total Operating Expenses</t>
  </si>
  <si>
    <t>Utilities</t>
  </si>
  <si>
    <t>Supplies</t>
  </si>
  <si>
    <t>Repairs and Maintenance</t>
  </si>
  <si>
    <t>Real Estate Taxes</t>
  </si>
  <si>
    <t>Payroll and Residential Manager</t>
  </si>
  <si>
    <t>Advertising, Licenses and Permits</t>
  </si>
  <si>
    <t>Net Operating Income divided by Sale Price.  Higher is Better</t>
  </si>
  <si>
    <t>Expenses</t>
  </si>
  <si>
    <t>Income</t>
  </si>
  <si>
    <t>Comments</t>
  </si>
  <si>
    <t>GROSS SCHEDULED RENTAL INCOME</t>
  </si>
  <si>
    <t>TOTAL GROSS INCOME</t>
  </si>
  <si>
    <t>Accounting and Legal</t>
  </si>
  <si>
    <t>Advertising, License, Permits</t>
  </si>
  <si>
    <t>Property Insurance</t>
  </si>
  <si>
    <t>Property Management</t>
  </si>
  <si>
    <t>Personal Property Taxes</t>
  </si>
  <si>
    <t>Real EstateTaxes</t>
  </si>
  <si>
    <t>Services</t>
  </si>
  <si>
    <t>Janitorial</t>
  </si>
  <si>
    <t>Pool</t>
  </si>
  <si>
    <t>Sewer &amp; Water</t>
  </si>
  <si>
    <t>Miscellaneous</t>
  </si>
  <si>
    <t>TOTAL OPERATING EXPENSES</t>
  </si>
  <si>
    <t xml:space="preserve">Total Annual Debt Service </t>
  </si>
  <si>
    <t xml:space="preserve">GROSS OPERATING INCOME </t>
  </si>
  <si>
    <t>Type</t>
  </si>
  <si>
    <t>Returnon Investment (ROI)</t>
  </si>
  <si>
    <t>Mr. &amp; Mrs. Smith</t>
  </si>
  <si>
    <t>262 Sunnyhills Drive</t>
  </si>
  <si>
    <t>Condo</t>
  </si>
  <si>
    <t>Other (HOA)</t>
  </si>
  <si>
    <t>Suggested as 2.16% of Gross Operating Income for early modeling.</t>
  </si>
  <si>
    <t>Assume 2% of Gross Operating Income.</t>
  </si>
  <si>
    <t>Get from local insurance agent. Assume O.5% of selling price.</t>
  </si>
  <si>
    <t>This will be 0% if you manage the property yourself; otherwise, figure around 7%</t>
  </si>
  <si>
    <t>Rent/Mo</t>
  </si>
  <si>
    <t>Land Value</t>
  </si>
  <si>
    <t>% Value Improvements</t>
  </si>
  <si>
    <t>Improvements Value</t>
  </si>
  <si>
    <t>Yearly Deprecation</t>
  </si>
  <si>
    <t>Pre-Tax Cash Flow</t>
  </si>
  <si>
    <t>Prepayment Calculation Worksheet</t>
  </si>
  <si>
    <t>Principal</t>
  </si>
  <si>
    <t>n</t>
  </si>
  <si>
    <t>Annual interest rate</t>
  </si>
  <si>
    <t>Term (years)</t>
  </si>
  <si>
    <t>Periods (per year)</t>
  </si>
  <si>
    <t>Start date</t>
  </si>
  <si>
    <t>Monthly Payment</t>
  </si>
  <si>
    <t>Enter the</t>
  </si>
  <si>
    <t>No. of Payments</t>
  </si>
  <si>
    <t>amount</t>
  </si>
  <si>
    <t>below for</t>
  </si>
  <si>
    <t>Year</t>
  </si>
  <si>
    <t>Payment</t>
  </si>
  <si>
    <t>Beginning</t>
  </si>
  <si>
    <t>Ending</t>
  </si>
  <si>
    <t>Cumulative</t>
  </si>
  <si>
    <t>Cummulative</t>
  </si>
  <si>
    <t>regular</t>
  </si>
  <si>
    <t>one-time</t>
  </si>
  <si>
    <t>Number</t>
  </si>
  <si>
    <t>Dates</t>
  </si>
  <si>
    <t>Prepayment</t>
  </si>
  <si>
    <t>payments</t>
  </si>
  <si>
    <t>Interest  Only? Y/N</t>
  </si>
  <si>
    <t>Residential managers are usually only required for larger apartment complexes.  The manager will typically live in one of the units, and receive some pay as well.</t>
  </si>
  <si>
    <t>Figure 1.1% for Property Tax</t>
  </si>
  <si>
    <t>About 5 or 10% of gross income - the newer the buildings, the lower the cost, typically.</t>
  </si>
  <si>
    <t>Other services not specified on the spreadsheet</t>
  </si>
  <si>
    <t>Small items, such as light bulbs, fertilizer, etc.  A good figure here is 1%</t>
  </si>
  <si>
    <t>Determine which utilities the complex owner pays for - typically this will be water and sewage, but may also include electricity, heating, etc.</t>
  </si>
  <si>
    <t>Miscallaneous expenses</t>
  </si>
  <si>
    <t>The total yearly operating expenses of the property, excluding debt service (loan payments)</t>
  </si>
  <si>
    <t>Cash Flow:  CF/Yr:  Yearly cash flow, before tax</t>
  </si>
  <si>
    <t>Fash Flow:  CF/Mo:  Monthly cash flow, before tax</t>
  </si>
  <si>
    <t>Total annual debt service subtracted from the Net Operating Income.</t>
  </si>
  <si>
    <t>Annual cash flow divided by 12</t>
  </si>
  <si>
    <t>Yearly return on your Investment (downpayment).  This is your Year's Cash Flow divided by your down payment.</t>
  </si>
  <si>
    <t>Total Annual Debt Service or Mortgage</t>
  </si>
  <si>
    <t>This is simply the monthly mortgage payment multiplied by 12.</t>
  </si>
  <si>
    <t>Cap Rate</t>
  </si>
  <si>
    <t>Date:</t>
  </si>
  <si>
    <t>Price:</t>
  </si>
  <si>
    <t>Name:</t>
  </si>
  <si>
    <t>Address:</t>
  </si>
  <si>
    <t>Type:</t>
  </si>
  <si>
    <t>Balance</t>
  </si>
  <si>
    <t>Pmts/mo</t>
  </si>
  <si>
    <t>Interest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</si>
</sst>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&quot;$&quot;#,##0.00"/>
    <numFmt numFmtId="178" formatCode="&quot;$&quot;#,##0"/>
    <numFmt numFmtId="179" formatCode="&quot;$&quot;#,##0.0"/>
    <numFmt numFmtId="180" formatCode="0.000%"/>
    <numFmt numFmtId="181" formatCode="&quot;$&quot;#,##0.00;[Red]&quot;$&quot;#,##0.00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Times"/>
      <family val="0"/>
    </font>
    <font>
      <sz val="10"/>
      <name val="Times"/>
      <family val="0"/>
    </font>
    <font>
      <sz val="10"/>
      <color indexed="56"/>
      <name val="Times"/>
      <family val="0"/>
    </font>
    <font>
      <b/>
      <sz val="10"/>
      <color indexed="12"/>
      <name val="Times"/>
      <family val="0"/>
    </font>
    <font>
      <b/>
      <sz val="10"/>
      <name val="Arial Narrow"/>
      <family val="2"/>
    </font>
    <font>
      <b/>
      <sz val="10"/>
      <name val="Geneva"/>
      <family val="0"/>
    </font>
    <font>
      <sz val="10"/>
      <name val="Arial Narrow"/>
      <family val="2"/>
    </font>
    <font>
      <sz val="10"/>
      <color indexed="39"/>
      <name val="Times"/>
      <family val="0"/>
    </font>
    <font>
      <b/>
      <sz val="10"/>
      <color indexed="56"/>
      <name val="Times"/>
      <family val="0"/>
    </font>
    <font>
      <sz val="10"/>
      <color indexed="56"/>
      <name val="Geneva"/>
      <family val="0"/>
    </font>
    <font>
      <sz val="8"/>
      <name val="Arial"/>
      <family val="0"/>
    </font>
    <font>
      <sz val="6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178" fontId="0" fillId="0" borderId="2" xfId="0" applyNumberFormat="1" applyBorder="1" applyAlignment="1">
      <alignment/>
    </xf>
    <xf numFmtId="0" fontId="3" fillId="0" borderId="3" xfId="0" applyFont="1" applyBorder="1" applyAlignment="1">
      <alignment horizontal="right"/>
    </xf>
    <xf numFmtId="176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9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3" fillId="0" borderId="18" xfId="0" applyFont="1" applyBorder="1" applyAlignment="1">
      <alignment/>
    </xf>
    <xf numFmtId="178" fontId="0" fillId="0" borderId="19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0" xfId="0" applyFont="1" applyFill="1" applyBorder="1" applyAlignment="1">
      <alignment/>
    </xf>
    <xf numFmtId="9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3" fillId="0" borderId="23" xfId="0" applyFont="1" applyBorder="1" applyAlignment="1">
      <alignment/>
    </xf>
    <xf numFmtId="178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9" fontId="0" fillId="0" borderId="26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3" fillId="0" borderId="20" xfId="0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9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9" fontId="0" fillId="0" borderId="25" xfId="0" applyNumberFormat="1" applyBorder="1" applyAlignment="1">
      <alignment/>
    </xf>
    <xf numFmtId="6" fontId="0" fillId="0" borderId="2" xfId="0" applyNumberFormat="1" applyBorder="1" applyAlignment="1">
      <alignment/>
    </xf>
    <xf numFmtId="178" fontId="0" fillId="0" borderId="5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0" fillId="0" borderId="0" xfId="0" applyBorder="1" applyAlignment="1">
      <alignment horizontal="fill"/>
    </xf>
    <xf numFmtId="0" fontId="3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8" fontId="0" fillId="0" borderId="24" xfId="0" applyNumberFormat="1" applyFill="1" applyBorder="1" applyAlignment="1" applyProtection="1">
      <alignment/>
      <protection locked="0"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0" fontId="0" fillId="2" borderId="21" xfId="0" applyNumberFormat="1" applyFill="1" applyBorder="1" applyAlignment="1" applyProtection="1">
      <alignment/>
      <protection locked="0"/>
    </xf>
    <xf numFmtId="10" fontId="0" fillId="2" borderId="21" xfId="0" applyNumberFormat="1" applyFont="1" applyFill="1" applyBorder="1" applyAlignment="1" applyProtection="1">
      <alignment/>
      <protection locked="0"/>
    </xf>
    <xf numFmtId="15" fontId="0" fillId="3" borderId="31" xfId="0" applyNumberFormat="1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178" fontId="0" fillId="3" borderId="35" xfId="0" applyNumberFormat="1" applyFill="1" applyBorder="1" applyAlignment="1" applyProtection="1">
      <alignment/>
      <protection locked="0"/>
    </xf>
    <xf numFmtId="178" fontId="0" fillId="3" borderId="32" xfId="0" applyNumberFormat="1" applyFill="1" applyBorder="1" applyAlignment="1" applyProtection="1">
      <alignment/>
      <protection locked="0"/>
    </xf>
    <xf numFmtId="9" fontId="0" fillId="3" borderId="32" xfId="0" applyNumberFormat="1" applyFill="1" applyBorder="1" applyAlignment="1" applyProtection="1">
      <alignment/>
      <protection locked="0"/>
    </xf>
    <xf numFmtId="178" fontId="0" fillId="3" borderId="36" xfId="0" applyNumberFormat="1" applyFill="1" applyBorder="1" applyAlignment="1">
      <alignment/>
    </xf>
    <xf numFmtId="10" fontId="0" fillId="3" borderId="37" xfId="0" applyNumberFormat="1" applyFill="1" applyBorder="1" applyAlignment="1" applyProtection="1">
      <alignment/>
      <protection locked="0"/>
    </xf>
    <xf numFmtId="176" fontId="0" fillId="3" borderId="12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178" fontId="0" fillId="3" borderId="24" xfId="0" applyNumberFormat="1" applyFill="1" applyBorder="1" applyAlignment="1">
      <alignment/>
    </xf>
    <xf numFmtId="9" fontId="0" fillId="3" borderId="21" xfId="0" applyNumberFormat="1" applyFill="1" applyBorder="1" applyAlignment="1" applyProtection="1">
      <alignment/>
      <protection locked="0"/>
    </xf>
    <xf numFmtId="10" fontId="0" fillId="3" borderId="21" xfId="0" applyNumberFormat="1" applyFill="1" applyBorder="1" applyAlignment="1" applyProtection="1">
      <alignment/>
      <protection locked="0"/>
    </xf>
    <xf numFmtId="178" fontId="0" fillId="3" borderId="21" xfId="0" applyNumberFormat="1" applyFill="1" applyBorder="1" applyAlignment="1" applyProtection="1">
      <alignment/>
      <protection locked="0"/>
    </xf>
    <xf numFmtId="178" fontId="0" fillId="3" borderId="4" xfId="0" applyNumberFormat="1" applyFill="1" applyBorder="1" applyAlignment="1" applyProtection="1">
      <alignment/>
      <protection locked="0"/>
    </xf>
    <xf numFmtId="9" fontId="0" fillId="0" borderId="37" xfId="0" applyNumberFormat="1" applyBorder="1" applyAlignment="1" quotePrefix="1">
      <alignment/>
    </xf>
    <xf numFmtId="0" fontId="3" fillId="0" borderId="38" xfId="0" applyFont="1" applyBorder="1" applyAlignment="1">
      <alignment/>
    </xf>
    <xf numFmtId="0" fontId="3" fillId="0" borderId="0" xfId="0" applyFont="1" applyAlignment="1">
      <alignment horizontal="right"/>
    </xf>
    <xf numFmtId="0" fontId="4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3" fillId="0" borderId="6" xfId="0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7" xfId="0" applyNumberFormat="1" applyBorder="1" applyAlignment="1">
      <alignment/>
    </xf>
    <xf numFmtId="178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0" fontId="0" fillId="0" borderId="34" xfId="0" applyNumberFormat="1" applyBorder="1" applyAlignment="1">
      <alignment/>
    </xf>
    <xf numFmtId="9" fontId="0" fillId="3" borderId="9" xfId="0" applyNumberFormat="1" applyFill="1" applyBorder="1" applyAlignment="1" applyProtection="1">
      <alignment/>
      <protection locked="0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7" xfId="0" applyFont="1" applyBorder="1" applyAlignment="1">
      <alignment/>
    </xf>
    <xf numFmtId="178" fontId="0" fillId="3" borderId="2" xfId="0" applyNumberFormat="1" applyFill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39" xfId="0" applyNumberFormat="1" applyBorder="1" applyAlignment="1">
      <alignment/>
    </xf>
    <xf numFmtId="0" fontId="3" fillId="0" borderId="25" xfId="0" applyFont="1" applyBorder="1" applyAlignment="1">
      <alignment/>
    </xf>
    <xf numFmtId="178" fontId="0" fillId="0" borderId="34" xfId="0" applyNumberFormat="1" applyBorder="1" applyAlignment="1">
      <alignment/>
    </xf>
    <xf numFmtId="9" fontId="0" fillId="3" borderId="40" xfId="0" applyNumberFormat="1" applyFill="1" applyBorder="1" applyAlignment="1" applyProtection="1">
      <alignment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/>
    </xf>
    <xf numFmtId="3" fontId="8" fillId="0" borderId="42" xfId="0" applyNumberFormat="1" applyFont="1" applyBorder="1" applyAlignment="1" applyProtection="1">
      <alignment/>
      <protection locked="0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/>
      <protection locked="0"/>
    </xf>
    <xf numFmtId="14" fontId="8" fillId="0" borderId="46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/>
      <protection locked="0"/>
    </xf>
    <xf numFmtId="4" fontId="8" fillId="0" borderId="43" xfId="0" applyNumberFormat="1" applyFont="1" applyBorder="1" applyAlignment="1" applyProtection="1">
      <alignment/>
      <protection locked="0"/>
    </xf>
    <xf numFmtId="4" fontId="8" fillId="0" borderId="46" xfId="0" applyNumberFormat="1" applyFont="1" applyBorder="1" applyAlignment="1" applyProtection="1">
      <alignment/>
      <protection locked="0"/>
    </xf>
    <xf numFmtId="177" fontId="8" fillId="0" borderId="29" xfId="0" applyNumberFormat="1" applyFont="1" applyBorder="1" applyAlignment="1" applyProtection="1">
      <alignment/>
      <protection locked="0"/>
    </xf>
    <xf numFmtId="4" fontId="10" fillId="0" borderId="47" xfId="0" applyNumberFormat="1" applyFont="1" applyBorder="1" applyAlignment="1">
      <alignment horizontal="center"/>
    </xf>
    <xf numFmtId="0" fontId="12" fillId="0" borderId="46" xfId="0" applyFont="1" applyBorder="1" applyAlignment="1" applyProtection="1">
      <alignment horizontal="center"/>
      <protection locked="0"/>
    </xf>
    <xf numFmtId="177" fontId="8" fillId="0" borderId="46" xfId="0" applyNumberFormat="1" applyFont="1" applyBorder="1" applyAlignment="1" applyProtection="1">
      <alignment/>
      <protection locked="0"/>
    </xf>
    <xf numFmtId="4" fontId="8" fillId="2" borderId="46" xfId="0" applyNumberFormat="1" applyFont="1" applyFill="1" applyBorder="1" applyAlignment="1" applyProtection="1">
      <alignment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/>
      <protection locked="0"/>
    </xf>
    <xf numFmtId="14" fontId="8" fillId="0" borderId="43" xfId="0" applyNumberFormat="1" applyFont="1" applyBorder="1" applyAlignment="1" applyProtection="1">
      <alignment horizontal="center"/>
      <protection locked="0"/>
    </xf>
    <xf numFmtId="4" fontId="8" fillId="5" borderId="46" xfId="0" applyNumberFormat="1" applyFont="1" applyFill="1" applyBorder="1" applyAlignment="1" applyProtection="1">
      <alignment/>
      <protection locked="0"/>
    </xf>
    <xf numFmtId="4" fontId="8" fillId="0" borderId="44" xfId="0" applyNumberFormat="1" applyFont="1" applyBorder="1" applyAlignment="1" applyProtection="1">
      <alignment/>
      <protection locked="0"/>
    </xf>
    <xf numFmtId="4" fontId="10" fillId="0" borderId="29" xfId="0" applyNumberFormat="1" applyFont="1" applyBorder="1" applyAlignment="1">
      <alignment horizontal="center"/>
    </xf>
    <xf numFmtId="0" fontId="12" fillId="0" borderId="45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/>
      <protection locked="0"/>
    </xf>
    <xf numFmtId="14" fontId="8" fillId="0" borderId="45" xfId="0" applyNumberFormat="1" applyFont="1" applyBorder="1" applyAlignment="1" applyProtection="1">
      <alignment horizontal="center"/>
      <protection locked="0"/>
    </xf>
    <xf numFmtId="4" fontId="8" fillId="0" borderId="30" xfId="0" applyNumberFormat="1" applyFont="1" applyBorder="1" applyAlignment="1" applyProtection="1">
      <alignment/>
      <protection locked="0"/>
    </xf>
    <xf numFmtId="4" fontId="8" fillId="0" borderId="36" xfId="0" applyNumberFormat="1" applyFont="1" applyBorder="1" applyAlignment="1" applyProtection="1">
      <alignment/>
      <protection locked="0"/>
    </xf>
    <xf numFmtId="177" fontId="8" fillId="0" borderId="30" xfId="0" applyNumberFormat="1" applyFont="1" applyBorder="1" applyAlignment="1" applyProtection="1">
      <alignment/>
      <protection locked="0"/>
    </xf>
    <xf numFmtId="7" fontId="9" fillId="0" borderId="22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43" fontId="0" fillId="0" borderId="0" xfId="15" applyAlignment="1">
      <alignment horizontal="center"/>
    </xf>
    <xf numFmtId="0" fontId="16" fillId="0" borderId="0" xfId="0" applyFont="1" applyAlignment="1">
      <alignment/>
    </xf>
    <xf numFmtId="43" fontId="8" fillId="0" borderId="42" xfId="15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43" fontId="8" fillId="0" borderId="0" xfId="15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 applyProtection="1">
      <alignment/>
      <protection/>
    </xf>
    <xf numFmtId="5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right"/>
    </xf>
    <xf numFmtId="4" fontId="7" fillId="0" borderId="0" xfId="0" applyNumberFormat="1" applyFont="1" applyBorder="1" applyAlignment="1" applyProtection="1">
      <alignment/>
      <protection/>
    </xf>
    <xf numFmtId="14" fontId="8" fillId="0" borderId="0" xfId="15" applyNumberFormat="1" applyFont="1" applyBorder="1" applyAlignment="1" applyProtection="1">
      <alignment/>
      <protection locked="0"/>
    </xf>
    <xf numFmtId="43" fontId="8" fillId="0" borderId="0" xfId="15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43" fontId="8" fillId="0" borderId="22" xfId="15" applyFont="1" applyBorder="1" applyAlignment="1">
      <alignment/>
    </xf>
    <xf numFmtId="0" fontId="12" fillId="0" borderId="2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43" fontId="7" fillId="0" borderId="29" xfId="15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43" fontId="7" fillId="0" borderId="30" xfId="15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43" fontId="8" fillId="0" borderId="46" xfId="15" applyFont="1" applyBorder="1" applyAlignment="1" applyProtection="1">
      <alignment horizontal="left"/>
      <protection locked="0"/>
    </xf>
    <xf numFmtId="7" fontId="9" fillId="0" borderId="0" xfId="0" applyNumberFormat="1" applyFont="1" applyAlignment="1" applyProtection="1">
      <alignment/>
      <protection/>
    </xf>
    <xf numFmtId="7" fontId="9" fillId="0" borderId="44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 locked="0"/>
    </xf>
    <xf numFmtId="43" fontId="8" fillId="0" borderId="30" xfId="15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17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9" fontId="0" fillId="3" borderId="37" xfId="0" applyNumberForma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6" borderId="48" xfId="0" applyFont="1" applyFill="1" applyBorder="1" applyAlignment="1" applyProtection="1">
      <alignment horizontal="center"/>
      <protection/>
    </xf>
    <xf numFmtId="0" fontId="11" fillId="6" borderId="24" xfId="0" applyFont="1" applyFill="1" applyBorder="1" applyAlignment="1" applyProtection="1">
      <alignment horizontal="center"/>
      <protection/>
    </xf>
    <xf numFmtId="0" fontId="11" fillId="6" borderId="35" xfId="0" applyFont="1" applyFill="1" applyBorder="1" applyAlignment="1" applyProtection="1">
      <alignment horizontal="center"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36"/>
  <sheetViews>
    <sheetView workbookViewId="0" topLeftCell="A3">
      <selection activeCell="C19" sqref="C19"/>
    </sheetView>
  </sheetViews>
  <sheetFormatPr defaultColWidth="11.421875" defaultRowHeight="12.75"/>
  <cols>
    <col min="1" max="2" width="10.8515625" style="56" customWidth="1"/>
    <col min="3" max="3" width="37.28125" style="56" customWidth="1"/>
    <col min="4" max="4" width="77.140625" style="57" customWidth="1"/>
    <col min="5" max="16384" width="10.8515625" style="56" customWidth="1"/>
  </cols>
  <sheetData>
    <row r="2" spans="2:4" ht="39.75" customHeight="1">
      <c r="B2" s="97" t="s">
        <v>53</v>
      </c>
      <c r="D2" s="57" t="s">
        <v>73</v>
      </c>
    </row>
    <row r="3" spans="2:4" ht="39.75" customHeight="1">
      <c r="B3" s="97" t="s">
        <v>46</v>
      </c>
      <c r="D3" s="57" t="s">
        <v>74</v>
      </c>
    </row>
    <row r="4" spans="2:4" ht="39.75" customHeight="1">
      <c r="B4" s="97" t="s">
        <v>123</v>
      </c>
      <c r="D4" s="57" t="s">
        <v>47</v>
      </c>
    </row>
    <row r="5" spans="2:4" ht="39.75" customHeight="1">
      <c r="B5" s="97" t="s">
        <v>116</v>
      </c>
      <c r="D5" s="57" t="s">
        <v>118</v>
      </c>
    </row>
    <row r="6" spans="2:4" ht="39.75" customHeight="1">
      <c r="B6" s="97" t="s">
        <v>117</v>
      </c>
      <c r="D6" s="57" t="s">
        <v>119</v>
      </c>
    </row>
    <row r="7" spans="2:4" ht="39.75" customHeight="1">
      <c r="B7" s="97" t="s">
        <v>63</v>
      </c>
      <c r="D7" s="57" t="s">
        <v>114</v>
      </c>
    </row>
    <row r="8" spans="2:4" ht="39.75" customHeight="1">
      <c r="B8" s="97" t="s">
        <v>30</v>
      </c>
      <c r="D8" s="57" t="s">
        <v>29</v>
      </c>
    </row>
    <row r="9" spans="2:4" ht="39.75" customHeight="1">
      <c r="B9" s="97" t="s">
        <v>45</v>
      </c>
      <c r="D9" s="57" t="s">
        <v>108</v>
      </c>
    </row>
    <row r="10" spans="2:4" ht="39.75" customHeight="1">
      <c r="B10" s="97" t="s">
        <v>55</v>
      </c>
      <c r="D10" s="57" t="s">
        <v>75</v>
      </c>
    </row>
    <row r="11" spans="2:4" ht="39.75" customHeight="1">
      <c r="B11" s="97" t="s">
        <v>56</v>
      </c>
      <c r="D11" s="57" t="s">
        <v>76</v>
      </c>
    </row>
    <row r="12" spans="2:4" ht="39.75" customHeight="1">
      <c r="B12" s="97" t="s">
        <v>44</v>
      </c>
      <c r="D12" s="57" t="s">
        <v>109</v>
      </c>
    </row>
    <row r="13" spans="2:4" ht="39.75" customHeight="1">
      <c r="B13" s="97" t="s">
        <v>43</v>
      </c>
      <c r="D13" s="57" t="s">
        <v>110</v>
      </c>
    </row>
    <row r="14" spans="2:4" ht="39.75" customHeight="1">
      <c r="B14" s="97" t="s">
        <v>68</v>
      </c>
      <c r="D14" s="57" t="s">
        <v>120</v>
      </c>
    </row>
    <row r="15" spans="2:4" ht="39.75" customHeight="1">
      <c r="B15" s="97" t="s">
        <v>59</v>
      </c>
      <c r="D15" s="57" t="s">
        <v>111</v>
      </c>
    </row>
    <row r="16" spans="2:4" ht="39.75" customHeight="1">
      <c r="B16" s="97" t="s">
        <v>42</v>
      </c>
      <c r="D16" s="57" t="s">
        <v>112</v>
      </c>
    </row>
    <row r="17" spans="2:4" ht="39.75" customHeight="1">
      <c r="B17" s="97" t="s">
        <v>121</v>
      </c>
      <c r="D17" s="57" t="s">
        <v>122</v>
      </c>
    </row>
    <row r="18" spans="2:4" ht="39.75" customHeight="1">
      <c r="B18" s="97" t="s">
        <v>40</v>
      </c>
      <c r="D18" s="57" t="s">
        <v>115</v>
      </c>
    </row>
    <row r="19" spans="2:4" ht="39.75" customHeight="1">
      <c r="B19" s="97" t="s">
        <v>41</v>
      </c>
      <c r="D19" s="57" t="s">
        <v>113</v>
      </c>
    </row>
    <row r="20" ht="15">
      <c r="B20" s="97"/>
    </row>
    <row r="21" ht="15">
      <c r="B21" s="97"/>
    </row>
    <row r="22" ht="15">
      <c r="B22" s="97"/>
    </row>
    <row r="23" ht="15">
      <c r="B23" s="97"/>
    </row>
    <row r="24" ht="15">
      <c r="B24" s="97"/>
    </row>
    <row r="25" ht="15">
      <c r="B25" s="97"/>
    </row>
    <row r="26" ht="15">
      <c r="B26" s="97"/>
    </row>
    <row r="27" ht="15">
      <c r="B27" s="97"/>
    </row>
    <row r="28" ht="15">
      <c r="B28" s="97"/>
    </row>
    <row r="29" ht="15">
      <c r="B29" s="97"/>
    </row>
    <row r="30" ht="15">
      <c r="B30" s="97"/>
    </row>
    <row r="31" ht="15">
      <c r="B31" s="97"/>
    </row>
    <row r="32" ht="15">
      <c r="B32" s="97"/>
    </row>
    <row r="33" ht="15">
      <c r="B33" s="97"/>
    </row>
    <row r="34" ht="15">
      <c r="B34" s="97"/>
    </row>
    <row r="35" ht="15">
      <c r="B35" s="97"/>
    </row>
    <row r="36" ht="15">
      <c r="B36" s="9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0"/>
  <sheetViews>
    <sheetView tabSelected="1" zoomScale="125" zoomScaleNormal="125" workbookViewId="0" topLeftCell="A1">
      <selection activeCell="E3" sqref="E3"/>
    </sheetView>
  </sheetViews>
  <sheetFormatPr defaultColWidth="11.421875" defaultRowHeight="12.75"/>
  <cols>
    <col min="1" max="1" width="8.8515625" style="0" customWidth="1"/>
    <col min="2" max="2" width="9.8515625" style="0" bestFit="1" customWidth="1"/>
    <col min="3" max="3" width="11.00390625" style="0" customWidth="1"/>
    <col min="4" max="4" width="8.8515625" style="0" customWidth="1"/>
    <col min="5" max="5" width="11.140625" style="0" bestFit="1" customWidth="1"/>
    <col min="6" max="6" width="11.140625" style="0" customWidth="1"/>
    <col min="7" max="7" width="11.140625" style="0" bestFit="1" customWidth="1"/>
    <col min="8" max="8" width="10.421875" style="0" bestFit="1" customWidth="1"/>
    <col min="9" max="9" width="8.8515625" style="0" customWidth="1"/>
    <col min="10" max="10" width="12.00390625" style="0" customWidth="1"/>
    <col min="11" max="16384" width="8.8515625" style="0" customWidth="1"/>
  </cols>
  <sheetData>
    <row r="1" spans="1:8" ht="13.5" thickBot="1">
      <c r="A1" s="86" t="s">
        <v>26</v>
      </c>
      <c r="B1" s="87"/>
      <c r="C1" s="87"/>
      <c r="D1" s="87"/>
      <c r="E1" s="87"/>
      <c r="F1" s="87"/>
      <c r="G1" s="87"/>
      <c r="H1" s="88"/>
    </row>
    <row r="2" spans="1:9" ht="12.75" thickBot="1">
      <c r="A2" s="11" t="s">
        <v>124</v>
      </c>
      <c r="B2" s="65">
        <v>39457</v>
      </c>
      <c r="C2" s="66"/>
      <c r="D2" s="11" t="s">
        <v>125</v>
      </c>
      <c r="E2" s="72">
        <v>260000</v>
      </c>
      <c r="G2" s="96" t="s">
        <v>8</v>
      </c>
      <c r="H2" s="60">
        <f>G18/E2</f>
        <v>0.05509615384615384</v>
      </c>
      <c r="I2" t="s">
        <v>10</v>
      </c>
    </row>
    <row r="3" spans="1:9" ht="12.75" thickBot="1">
      <c r="A3" s="13" t="s">
        <v>126</v>
      </c>
      <c r="B3" s="67" t="s">
        <v>69</v>
      </c>
      <c r="C3" s="68"/>
      <c r="D3" s="11" t="s">
        <v>6</v>
      </c>
      <c r="E3" s="73">
        <v>0</v>
      </c>
      <c r="G3" s="4" t="s">
        <v>123</v>
      </c>
      <c r="H3" s="5">
        <f>$G$42/$E$2</f>
        <v>0.03217307692307692</v>
      </c>
      <c r="I3" t="s">
        <v>10</v>
      </c>
    </row>
    <row r="4" spans="1:9" ht="12.75" thickBot="1">
      <c r="A4" s="13" t="s">
        <v>127</v>
      </c>
      <c r="B4" s="67" t="s">
        <v>70</v>
      </c>
      <c r="C4" s="68"/>
      <c r="D4" s="59" t="s">
        <v>7</v>
      </c>
      <c r="E4" s="58">
        <f>E2*E3</f>
        <v>0</v>
      </c>
      <c r="G4" s="96" t="s">
        <v>9</v>
      </c>
      <c r="H4" s="61">
        <f>E2/(G16)</f>
        <v>17.333333333333332</v>
      </c>
      <c r="I4" t="s">
        <v>11</v>
      </c>
    </row>
    <row r="5" spans="1:5" ht="12.75" thickBot="1">
      <c r="A5" s="15" t="s">
        <v>128</v>
      </c>
      <c r="B5" s="69" t="s">
        <v>71</v>
      </c>
      <c r="C5" s="70"/>
      <c r="D5" s="46"/>
      <c r="E5" s="6"/>
    </row>
    <row r="6" spans="1:4" ht="12.75" thickBot="1">
      <c r="A6" s="38"/>
      <c r="B6" s="6"/>
      <c r="C6" s="6"/>
      <c r="D6" s="6"/>
    </row>
    <row r="7" spans="1:8" ht="12.75" thickBot="1">
      <c r="A7" s="206" t="s">
        <v>67</v>
      </c>
      <c r="B7" s="17" t="s">
        <v>129</v>
      </c>
      <c r="C7" s="18" t="s">
        <v>130</v>
      </c>
      <c r="D7" s="19" t="s">
        <v>131</v>
      </c>
      <c r="F7" s="27" t="s">
        <v>79</v>
      </c>
      <c r="G7" s="101"/>
      <c r="H7" s="107">
        <v>0.4</v>
      </c>
    </row>
    <row r="8" spans="1:8" ht="12">
      <c r="A8" s="12" t="s">
        <v>0</v>
      </c>
      <c r="B8" s="74">
        <f>E2-E4</f>
        <v>260000</v>
      </c>
      <c r="C8" s="55">
        <f>PMT(D8/12,$D$11*12,B8*-1)</f>
        <v>1558.8313653971732</v>
      </c>
      <c r="D8" s="75">
        <v>0.06</v>
      </c>
      <c r="F8" s="102" t="s">
        <v>80</v>
      </c>
      <c r="G8" s="103"/>
      <c r="H8" s="104">
        <f>E2*H7</f>
        <v>104000</v>
      </c>
    </row>
    <row r="9" spans="1:8" ht="12">
      <c r="A9" s="13" t="s">
        <v>1</v>
      </c>
      <c r="B9" s="71">
        <v>0</v>
      </c>
      <c r="C9" s="55">
        <f>PMT(D9/12,$D$11*12,B9*-1)</f>
        <v>0</v>
      </c>
      <c r="D9" s="76">
        <v>0.05</v>
      </c>
      <c r="F9" s="102" t="s">
        <v>78</v>
      </c>
      <c r="G9" s="6"/>
      <c r="H9" s="104">
        <f>E2-H8</f>
        <v>156000</v>
      </c>
    </row>
    <row r="10" spans="1:8" ht="12.75" thickBot="1">
      <c r="A10" s="22" t="s">
        <v>2</v>
      </c>
      <c r="B10" s="23">
        <f>SUM(B8:B9)</f>
        <v>260000</v>
      </c>
      <c r="C10" s="54">
        <f>IF(ISNUMBER(C9),SUM(C8:C9),"$0")</f>
        <v>1558.8313653971732</v>
      </c>
      <c r="D10" s="21"/>
      <c r="F10" s="105" t="s">
        <v>81</v>
      </c>
      <c r="G10" s="7"/>
      <c r="H10" s="106">
        <f>H8/27.5</f>
        <v>3781.818181818182</v>
      </c>
    </row>
    <row r="11" spans="1:4" ht="12.75" thickBot="1">
      <c r="A11" s="24" t="s">
        <v>4</v>
      </c>
      <c r="B11" s="82">
        <f>E4</f>
        <v>0</v>
      </c>
      <c r="C11" s="17" t="s">
        <v>3</v>
      </c>
      <c r="D11" s="77">
        <v>30</v>
      </c>
    </row>
    <row r="12" ht="12.75" thickBot="1"/>
    <row r="13" spans="1:8" ht="12.75" thickBot="1">
      <c r="A13" s="89" t="s">
        <v>77</v>
      </c>
      <c r="B13" s="100">
        <v>1250</v>
      </c>
      <c r="C13" s="99" t="s">
        <v>31</v>
      </c>
      <c r="D13" s="3">
        <f>B13*12</f>
        <v>15000</v>
      </c>
      <c r="E13" s="25" t="s">
        <v>5</v>
      </c>
      <c r="F13" s="16" t="s">
        <v>48</v>
      </c>
      <c r="G13" s="26" t="s">
        <v>49</v>
      </c>
      <c r="H13" s="47" t="s">
        <v>50</v>
      </c>
    </row>
    <row r="14" spans="1:10" ht="12">
      <c r="A14" s="27" t="s">
        <v>51</v>
      </c>
      <c r="B14" s="1"/>
      <c r="C14" s="1"/>
      <c r="D14" s="1"/>
      <c r="E14" s="28"/>
      <c r="F14" s="29"/>
      <c r="G14" s="30">
        <f>D13</f>
        <v>15000</v>
      </c>
      <c r="H14" s="48"/>
      <c r="J14" s="98"/>
    </row>
    <row r="15" spans="1:8" ht="12">
      <c r="A15" s="31" t="s">
        <v>13</v>
      </c>
      <c r="B15" s="6"/>
      <c r="C15" s="6"/>
      <c r="D15" s="6"/>
      <c r="E15" s="28"/>
      <c r="F15" s="29"/>
      <c r="G15" s="78">
        <v>0</v>
      </c>
      <c r="H15" s="48"/>
    </row>
    <row r="16" spans="1:8" ht="12">
      <c r="A16" s="31" t="s">
        <v>52</v>
      </c>
      <c r="B16" s="6"/>
      <c r="C16" s="6"/>
      <c r="D16" s="6"/>
      <c r="E16" s="28"/>
      <c r="F16" s="29"/>
      <c r="G16" s="53">
        <f>SUM(G14:G15)</f>
        <v>15000</v>
      </c>
      <c r="H16" s="48"/>
    </row>
    <row r="17" spans="1:8" ht="12">
      <c r="A17" s="31" t="s">
        <v>21</v>
      </c>
      <c r="B17" s="6"/>
      <c r="C17" s="6"/>
      <c r="D17" s="6"/>
      <c r="E17" s="79">
        <v>0.045</v>
      </c>
      <c r="F17" s="29">
        <f>G14*E17</f>
        <v>675</v>
      </c>
      <c r="G17" s="32"/>
      <c r="H17" s="48"/>
    </row>
    <row r="18" spans="1:8" ht="12.75" thickBot="1">
      <c r="A18" s="33" t="s">
        <v>66</v>
      </c>
      <c r="B18" s="7"/>
      <c r="C18" s="7"/>
      <c r="D18" s="7"/>
      <c r="E18" s="34"/>
      <c r="F18" s="35"/>
      <c r="G18" s="20">
        <f>G16-F17</f>
        <v>14325</v>
      </c>
      <c r="H18" s="49"/>
    </row>
    <row r="19" spans="1:8" ht="12">
      <c r="A19" s="36" t="s">
        <v>18</v>
      </c>
      <c r="B19" s="1"/>
      <c r="C19" s="1"/>
      <c r="D19" s="1"/>
      <c r="E19" s="45"/>
      <c r="F19" s="37"/>
      <c r="G19" s="30"/>
      <c r="H19" s="48"/>
    </row>
    <row r="20" spans="3:8" ht="12">
      <c r="C20" s="62" t="s">
        <v>58</v>
      </c>
      <c r="D20" s="6"/>
      <c r="E20" s="80">
        <v>0.011</v>
      </c>
      <c r="F20" s="29">
        <f>E2*E20</f>
        <v>2860</v>
      </c>
      <c r="H20" s="48"/>
    </row>
    <row r="21" spans="1:8" ht="12">
      <c r="A21" s="38"/>
      <c r="C21" s="62" t="s">
        <v>14</v>
      </c>
      <c r="D21" s="6"/>
      <c r="E21" s="63">
        <v>0.05</v>
      </c>
      <c r="F21" s="81">
        <v>1000</v>
      </c>
      <c r="G21" s="29"/>
      <c r="H21" s="48"/>
    </row>
    <row r="22" spans="1:8" ht="12">
      <c r="A22" s="38"/>
      <c r="C22" s="62" t="s">
        <v>15</v>
      </c>
      <c r="D22" s="6"/>
      <c r="E22" s="63">
        <f>F22/G18</f>
        <v>0</v>
      </c>
      <c r="F22" s="81">
        <v>0</v>
      </c>
      <c r="G22" s="29"/>
      <c r="H22" s="48"/>
    </row>
    <row r="23" spans="1:8" ht="12">
      <c r="A23" s="38"/>
      <c r="B23" s="39"/>
      <c r="C23" s="62" t="s">
        <v>12</v>
      </c>
      <c r="D23" s="6"/>
      <c r="E23" s="63">
        <f>F23/G18</f>
        <v>0</v>
      </c>
      <c r="F23" s="81">
        <v>0</v>
      </c>
      <c r="G23" s="29"/>
      <c r="H23" s="48"/>
    </row>
    <row r="24" spans="3:8" ht="12">
      <c r="C24" s="62" t="s">
        <v>63</v>
      </c>
      <c r="D24" s="6"/>
      <c r="E24" s="63">
        <f>F24/G18</f>
        <v>0</v>
      </c>
      <c r="F24" s="81"/>
      <c r="G24" s="29"/>
      <c r="H24" s="48"/>
    </row>
    <row r="25" spans="1:8" ht="12">
      <c r="A25" s="38"/>
      <c r="C25" s="62" t="s">
        <v>55</v>
      </c>
      <c r="D25" s="6"/>
      <c r="E25" s="80">
        <v>0.0015</v>
      </c>
      <c r="F25" s="29">
        <v>0</v>
      </c>
      <c r="G25" s="32"/>
      <c r="H25" s="48"/>
    </row>
    <row r="26" spans="1:8" ht="12">
      <c r="A26" s="38"/>
      <c r="C26" s="62" t="s">
        <v>56</v>
      </c>
      <c r="D26" s="6"/>
      <c r="E26" s="80">
        <v>0</v>
      </c>
      <c r="F26" s="29">
        <f>E26*E2</f>
        <v>0</v>
      </c>
      <c r="G26" s="32"/>
      <c r="H26" s="48"/>
    </row>
    <row r="27" spans="1:8" ht="12">
      <c r="A27" s="38"/>
      <c r="C27" s="62" t="s">
        <v>19</v>
      </c>
      <c r="D27" s="6"/>
      <c r="E27" s="64">
        <f>F27/G18</f>
        <v>0</v>
      </c>
      <c r="F27" s="81"/>
      <c r="G27" s="29"/>
      <c r="H27" s="48"/>
    </row>
    <row r="28" spans="1:8" ht="12">
      <c r="A28" s="38"/>
      <c r="B28" s="52"/>
      <c r="C28" s="62" t="s">
        <v>62</v>
      </c>
      <c r="D28" s="6"/>
      <c r="E28" s="64">
        <f>F28/G18</f>
        <v>0</v>
      </c>
      <c r="F28" s="81">
        <v>0</v>
      </c>
      <c r="G28" s="29"/>
      <c r="H28" s="48"/>
    </row>
    <row r="29" spans="1:8" ht="12">
      <c r="A29" s="38"/>
      <c r="B29" s="52"/>
      <c r="C29" s="62"/>
      <c r="D29" s="6"/>
      <c r="E29" s="64"/>
      <c r="F29" s="29"/>
      <c r="G29" s="32"/>
      <c r="H29" s="48"/>
    </row>
    <row r="30" spans="1:8" ht="12">
      <c r="A30" s="38"/>
      <c r="C30" s="62" t="s">
        <v>16</v>
      </c>
      <c r="D30" s="6"/>
      <c r="E30" s="63">
        <f>F30/G18</f>
        <v>0</v>
      </c>
      <c r="F30" s="81">
        <v>0</v>
      </c>
      <c r="G30" s="29"/>
      <c r="H30" s="48"/>
    </row>
    <row r="31" spans="1:8" ht="12">
      <c r="A31" s="38"/>
      <c r="B31" s="39"/>
      <c r="C31" s="62" t="s">
        <v>17</v>
      </c>
      <c r="D31" s="6"/>
      <c r="E31" s="63">
        <f>F30/G18</f>
        <v>0</v>
      </c>
      <c r="F31" s="81">
        <v>0</v>
      </c>
      <c r="G31" s="29"/>
      <c r="H31" s="48"/>
    </row>
    <row r="32" spans="1:8" ht="12">
      <c r="A32" s="38"/>
      <c r="C32" s="62" t="s">
        <v>57</v>
      </c>
      <c r="D32" s="6"/>
      <c r="E32" s="63">
        <f>F30/G18</f>
        <v>0</v>
      </c>
      <c r="F32" s="81">
        <v>0</v>
      </c>
      <c r="G32" s="29"/>
      <c r="H32" s="48"/>
    </row>
    <row r="33" spans="1:8" ht="12">
      <c r="A33" s="38"/>
      <c r="C33" s="62"/>
      <c r="D33" s="6"/>
      <c r="E33" s="63"/>
      <c r="F33" s="29"/>
      <c r="G33" s="32"/>
      <c r="H33" s="48"/>
    </row>
    <row r="34" spans="1:8" ht="12">
      <c r="A34" s="38"/>
      <c r="C34" s="62" t="s">
        <v>53</v>
      </c>
      <c r="D34" s="6"/>
      <c r="E34" s="80">
        <v>0</v>
      </c>
      <c r="F34" s="29">
        <f>G18*E34</f>
        <v>0</v>
      </c>
      <c r="G34" s="32"/>
      <c r="H34" s="48"/>
    </row>
    <row r="35" spans="1:8" ht="12">
      <c r="A35" s="38"/>
      <c r="C35" s="62" t="s">
        <v>54</v>
      </c>
      <c r="D35" s="6"/>
      <c r="E35" s="80">
        <v>0</v>
      </c>
      <c r="F35" s="29">
        <f>G18*E35</f>
        <v>0</v>
      </c>
      <c r="G35" s="32"/>
      <c r="H35" s="48"/>
    </row>
    <row r="36" spans="1:8" ht="12">
      <c r="A36" s="38"/>
      <c r="C36" s="62"/>
      <c r="D36" s="6"/>
      <c r="E36" s="63"/>
      <c r="F36" s="29"/>
      <c r="G36" s="32"/>
      <c r="H36" s="48"/>
    </row>
    <row r="37" spans="1:8" ht="12">
      <c r="A37" s="38"/>
      <c r="C37" s="62" t="s">
        <v>59</v>
      </c>
      <c r="D37" s="6"/>
      <c r="E37" s="63">
        <f>F30/G18</f>
        <v>0</v>
      </c>
      <c r="F37" s="81"/>
      <c r="G37" s="29"/>
      <c r="H37" s="48"/>
    </row>
    <row r="38" spans="1:8" ht="12">
      <c r="A38" s="38"/>
      <c r="B38" s="39"/>
      <c r="C38" s="62" t="s">
        <v>60</v>
      </c>
      <c r="D38" s="6"/>
      <c r="E38" s="63">
        <f>F30/G18</f>
        <v>0</v>
      </c>
      <c r="F38" s="81"/>
      <c r="G38" s="29"/>
      <c r="H38" s="48"/>
    </row>
    <row r="39" spans="1:8" ht="12">
      <c r="A39" s="38"/>
      <c r="B39" s="39"/>
      <c r="C39" s="62" t="s">
        <v>61</v>
      </c>
      <c r="D39" s="6"/>
      <c r="E39" s="63">
        <f>F30/G18</f>
        <v>0</v>
      </c>
      <c r="F39" s="81"/>
      <c r="G39" s="29"/>
      <c r="H39" s="48"/>
    </row>
    <row r="40" spans="1:8" ht="12">
      <c r="A40" s="38"/>
      <c r="B40" s="39"/>
      <c r="C40" s="62" t="s">
        <v>72</v>
      </c>
      <c r="D40" s="6"/>
      <c r="E40" s="63">
        <f>F30/G18</f>
        <v>0</v>
      </c>
      <c r="F40" s="81">
        <f>175*12</f>
        <v>2100</v>
      </c>
      <c r="G40" s="29"/>
      <c r="H40" s="48"/>
    </row>
    <row r="41" spans="1:8" ht="12.75" thickBot="1">
      <c r="A41" s="33" t="s">
        <v>64</v>
      </c>
      <c r="B41" s="7"/>
      <c r="C41" s="7"/>
      <c r="D41" s="7"/>
      <c r="E41" s="49"/>
      <c r="F41" s="35">
        <f>SUM(F19:F40)</f>
        <v>5960</v>
      </c>
      <c r="G41" s="20"/>
      <c r="H41" s="90">
        <f>F41/G16</f>
        <v>0.3973333333333333</v>
      </c>
    </row>
    <row r="42" spans="1:8" ht="12.75" thickBot="1">
      <c r="A42" s="8" t="s">
        <v>22</v>
      </c>
      <c r="B42" s="9"/>
      <c r="C42" s="9"/>
      <c r="D42" s="9"/>
      <c r="E42" s="40"/>
      <c r="F42" s="3"/>
      <c r="G42" s="41">
        <f>G18-F41</f>
        <v>8365</v>
      </c>
      <c r="H42" s="50"/>
    </row>
    <row r="43" spans="1:8" ht="12.75" thickBot="1">
      <c r="A43" s="8" t="s">
        <v>65</v>
      </c>
      <c r="B43" s="9"/>
      <c r="C43" s="9"/>
      <c r="D43" s="9"/>
      <c r="E43" s="42"/>
      <c r="F43" s="43">
        <f>C10*12</f>
        <v>18705.97638476608</v>
      </c>
      <c r="G43" s="44"/>
      <c r="H43" s="51"/>
    </row>
    <row r="44" ht="12.75" thickBot="1"/>
    <row r="45" spans="1:8" ht="12.75" thickBot="1">
      <c r="A45" s="8" t="s">
        <v>82</v>
      </c>
      <c r="B45" s="9"/>
      <c r="C45" s="10"/>
      <c r="D45" s="89" t="s">
        <v>33</v>
      </c>
      <c r="E45" s="9"/>
      <c r="F45" s="9"/>
      <c r="G45" s="9"/>
      <c r="H45" s="10"/>
    </row>
    <row r="46" spans="1:8" ht="12.75" thickBot="1">
      <c r="A46" s="2" t="s">
        <v>23</v>
      </c>
      <c r="B46" s="3">
        <f>$G$42-$F$43</f>
        <v>-10340.97638476608</v>
      </c>
      <c r="C46" s="83" t="s">
        <v>20</v>
      </c>
      <c r="D46" s="102" t="s">
        <v>82</v>
      </c>
      <c r="E46" s="6"/>
      <c r="F46" s="202">
        <f>B46</f>
        <v>-10340.97638476608</v>
      </c>
      <c r="G46" s="59" t="s">
        <v>36</v>
      </c>
      <c r="H46" s="205">
        <v>0.3</v>
      </c>
    </row>
    <row r="47" spans="1:8" ht="12.75" thickBot="1">
      <c r="A47" s="2" t="s">
        <v>24</v>
      </c>
      <c r="B47" s="3">
        <f>$B$46/12</f>
        <v>-861.74803206384</v>
      </c>
      <c r="C47" s="14"/>
      <c r="D47" s="102" t="s">
        <v>32</v>
      </c>
      <c r="E47" s="6"/>
      <c r="F47" s="202">
        <f>-1*(Amortization!I26)</f>
        <v>-15513.145932846404</v>
      </c>
      <c r="G47" s="59" t="s">
        <v>37</v>
      </c>
      <c r="H47" s="104">
        <f>H46*F49</f>
        <v>-8890.7821498292</v>
      </c>
    </row>
    <row r="48" spans="1:8" ht="12.75" thickBot="1">
      <c r="A48" s="4"/>
      <c r="B48" s="85" t="s">
        <v>25</v>
      </c>
      <c r="C48" s="91" t="e">
        <f>$B$46/$B$11</f>
        <v>#DIV/0!</v>
      </c>
      <c r="D48" s="102" t="s">
        <v>38</v>
      </c>
      <c r="E48" s="6"/>
      <c r="F48" s="202">
        <f>-1*(H10)</f>
        <v>-3781.818181818182</v>
      </c>
      <c r="G48" s="200" t="s">
        <v>34</v>
      </c>
      <c r="H48" s="104">
        <f>B46-H47</f>
        <v>-1450.19423493688</v>
      </c>
    </row>
    <row r="49" spans="1:8" ht="12.75" thickBot="1">
      <c r="A49" s="84"/>
      <c r="B49" s="92" t="s">
        <v>28</v>
      </c>
      <c r="C49" s="95">
        <v>0.05</v>
      </c>
      <c r="D49" s="102"/>
      <c r="E49" s="203" t="s">
        <v>39</v>
      </c>
      <c r="F49" s="202">
        <f>SUM(F46:F48)</f>
        <v>-29635.940499430668</v>
      </c>
      <c r="G49" s="200" t="s">
        <v>35</v>
      </c>
      <c r="H49" s="104">
        <f>H48/12</f>
        <v>-120.84951957807334</v>
      </c>
    </row>
    <row r="50" spans="1:8" ht="12.75" thickBot="1">
      <c r="A50" s="7"/>
      <c r="B50" s="93" t="s">
        <v>27</v>
      </c>
      <c r="C50" s="94" t="e">
        <f>((E2*C49)+B46)/B11</f>
        <v>#DIV/0!</v>
      </c>
      <c r="D50" s="201"/>
      <c r="E50" s="1"/>
      <c r="F50" s="204"/>
      <c r="G50" s="1"/>
      <c r="H50" s="1"/>
    </row>
  </sheetData>
  <dataValidations count="1">
    <dataValidation type="decimal" allowBlank="1" showInputMessage="1" showErrorMessage="1" promptTitle="% Down" prompt="When you have the &quot;Cash In&quot;, copy that value to cell F13 (Down Payment)" sqref="E3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4"/>
  <sheetViews>
    <sheetView zoomScale="125" zoomScaleNormal="125" workbookViewId="0" topLeftCell="A1">
      <selection activeCell="I26" sqref="I26"/>
    </sheetView>
  </sheetViews>
  <sheetFormatPr defaultColWidth="11.421875" defaultRowHeight="12.75"/>
  <cols>
    <col min="1" max="1" width="2.00390625" style="0" customWidth="1"/>
    <col min="2" max="16384" width="8.8515625" style="0" customWidth="1"/>
  </cols>
  <sheetData>
    <row r="1" spans="1:12" ht="12.75">
      <c r="A1" s="153"/>
      <c r="B1" s="154"/>
      <c r="D1" s="155"/>
      <c r="E1" s="156"/>
      <c r="F1" s="153"/>
      <c r="I1" s="157"/>
      <c r="J1" s="157"/>
      <c r="K1" s="119"/>
      <c r="L1" s="119"/>
    </row>
    <row r="2" spans="1:12" ht="12">
      <c r="A2" s="153"/>
      <c r="B2" s="108"/>
      <c r="C2" s="109"/>
      <c r="D2" s="110"/>
      <c r="E2" s="158"/>
      <c r="F2" s="111"/>
      <c r="G2" s="112"/>
      <c r="H2" s="112"/>
      <c r="I2" s="113"/>
      <c r="J2" s="114"/>
      <c r="K2" s="115"/>
      <c r="L2" s="116"/>
    </row>
    <row r="3" spans="1:12" ht="12">
      <c r="A3" s="153"/>
      <c r="B3" s="117"/>
      <c r="C3" s="209" t="s">
        <v>83</v>
      </c>
      <c r="D3" s="210"/>
      <c r="E3" s="210"/>
      <c r="F3" s="210"/>
      <c r="G3" s="210"/>
      <c r="H3" s="211"/>
      <c r="I3" s="159"/>
      <c r="J3" s="118"/>
      <c r="K3" s="119"/>
      <c r="L3" s="120"/>
    </row>
    <row r="4" spans="1:12" ht="12">
      <c r="A4" s="153"/>
      <c r="B4" s="117"/>
      <c r="C4" s="160"/>
      <c r="D4" s="161"/>
      <c r="E4" s="162"/>
      <c r="F4" s="163"/>
      <c r="G4" s="160"/>
      <c r="H4" s="160"/>
      <c r="I4" s="159"/>
      <c r="J4" s="118"/>
      <c r="K4" s="212"/>
      <c r="L4" s="213"/>
    </row>
    <row r="5" spans="1:12" ht="12.75">
      <c r="A5" s="164"/>
      <c r="B5" s="121"/>
      <c r="C5" s="165" t="s">
        <v>84</v>
      </c>
      <c r="D5" s="160"/>
      <c r="E5" s="166">
        <f>'Analysis Spreadsheet'!B8</f>
        <v>260000</v>
      </c>
      <c r="F5" s="214" t="s">
        <v>107</v>
      </c>
      <c r="G5" s="214"/>
      <c r="H5" s="168" t="s">
        <v>85</v>
      </c>
      <c r="I5" s="159"/>
      <c r="J5" s="118"/>
      <c r="K5" s="207"/>
      <c r="L5" s="208"/>
    </row>
    <row r="6" spans="2:12" ht="12.75">
      <c r="B6" s="121"/>
      <c r="C6" s="165" t="s">
        <v>86</v>
      </c>
      <c r="D6" s="163"/>
      <c r="E6" s="169">
        <f>'Analysis Spreadsheet'!D8</f>
        <v>0.06</v>
      </c>
      <c r="F6" s="167"/>
      <c r="G6" s="167"/>
      <c r="H6" s="170"/>
      <c r="I6" s="159"/>
      <c r="J6" s="118"/>
      <c r="K6" s="207"/>
      <c r="L6" s="208"/>
    </row>
    <row r="7" spans="2:12" ht="12.75">
      <c r="B7" s="121"/>
      <c r="C7" s="165" t="s">
        <v>87</v>
      </c>
      <c r="D7" s="163"/>
      <c r="E7" s="171">
        <f>'Analysis Spreadsheet'!D11</f>
        <v>30</v>
      </c>
      <c r="F7" s="167"/>
      <c r="G7" s="167"/>
      <c r="H7" s="172"/>
      <c r="I7" s="159"/>
      <c r="J7" s="118"/>
      <c r="K7" s="122"/>
      <c r="L7" s="120"/>
    </row>
    <row r="8" spans="2:12" ht="12.75">
      <c r="B8" s="121"/>
      <c r="C8" s="165" t="s">
        <v>88</v>
      </c>
      <c r="D8" s="163"/>
      <c r="E8" s="173">
        <v>12</v>
      </c>
      <c r="F8" s="167"/>
      <c r="G8" s="167"/>
      <c r="H8" s="174"/>
      <c r="I8" s="159"/>
      <c r="J8" s="118"/>
      <c r="K8" s="122"/>
      <c r="L8" s="123"/>
    </row>
    <row r="9" spans="2:12" ht="12.75">
      <c r="B9" s="121"/>
      <c r="C9" s="165" t="s">
        <v>89</v>
      </c>
      <c r="D9" s="163"/>
      <c r="E9" s="175">
        <v>37987</v>
      </c>
      <c r="F9" s="167"/>
      <c r="G9" s="167"/>
      <c r="H9" s="160"/>
      <c r="I9" s="159"/>
      <c r="J9" s="118"/>
      <c r="K9" s="122"/>
      <c r="L9" s="123"/>
    </row>
    <row r="10" spans="2:13" ht="12.75">
      <c r="B10" s="121"/>
      <c r="C10" s="165" t="s">
        <v>90</v>
      </c>
      <c r="D10" s="163"/>
      <c r="E10" s="176">
        <f>IF(interest_only="n",-PMT(rate/period,no_of_payments,principal),principal*rate/12)</f>
        <v>1558.8313653971732</v>
      </c>
      <c r="F10" s="167"/>
      <c r="G10" s="167"/>
      <c r="H10" s="160"/>
      <c r="I10" s="159"/>
      <c r="J10" s="118"/>
      <c r="K10" s="122"/>
      <c r="L10" s="177" t="s">
        <v>91</v>
      </c>
      <c r="M10" s="177" t="s">
        <v>91</v>
      </c>
    </row>
    <row r="11" spans="2:13" ht="12.75">
      <c r="B11" s="121"/>
      <c r="C11" s="165" t="s">
        <v>92</v>
      </c>
      <c r="D11" s="160"/>
      <c r="E11" s="173">
        <f>E7*E8</f>
        <v>360</v>
      </c>
      <c r="F11" s="167"/>
      <c r="G11" s="167"/>
      <c r="H11" s="160"/>
      <c r="I11" s="159"/>
      <c r="J11" s="118"/>
      <c r="K11" s="122"/>
      <c r="L11" s="178" t="s">
        <v>93</v>
      </c>
      <c r="M11" s="178" t="s">
        <v>93</v>
      </c>
    </row>
    <row r="12" spans="2:13" ht="12">
      <c r="B12" s="124"/>
      <c r="C12" s="125"/>
      <c r="D12" s="125"/>
      <c r="E12" s="179"/>
      <c r="F12" s="125"/>
      <c r="G12" s="125"/>
      <c r="H12" s="125"/>
      <c r="I12" s="126"/>
      <c r="J12" s="127"/>
      <c r="K12" s="128"/>
      <c r="L12" s="178" t="s">
        <v>94</v>
      </c>
      <c r="M12" s="178" t="s">
        <v>94</v>
      </c>
    </row>
    <row r="13" spans="1:13" ht="12.75">
      <c r="A13" s="153"/>
      <c r="B13" s="180" t="s">
        <v>95</v>
      </c>
      <c r="C13" s="181" t="s">
        <v>96</v>
      </c>
      <c r="D13" s="182" t="s">
        <v>96</v>
      </c>
      <c r="E13" s="183" t="s">
        <v>97</v>
      </c>
      <c r="F13" s="184" t="s">
        <v>131</v>
      </c>
      <c r="G13" s="183" t="s">
        <v>84</v>
      </c>
      <c r="H13" s="182" t="s">
        <v>98</v>
      </c>
      <c r="I13" s="185" t="s">
        <v>99</v>
      </c>
      <c r="J13" s="183" t="s">
        <v>100</v>
      </c>
      <c r="K13" s="186" t="s">
        <v>2</v>
      </c>
      <c r="L13" s="178" t="s">
        <v>101</v>
      </c>
      <c r="M13" s="178" t="s">
        <v>102</v>
      </c>
    </row>
    <row r="14" spans="1:13" ht="12.75">
      <c r="A14" s="153"/>
      <c r="B14" s="187"/>
      <c r="C14" s="188" t="s">
        <v>103</v>
      </c>
      <c r="D14" s="189" t="s">
        <v>104</v>
      </c>
      <c r="E14" s="190" t="s">
        <v>129</v>
      </c>
      <c r="F14" s="191"/>
      <c r="G14" s="190"/>
      <c r="H14" s="189" t="s">
        <v>129</v>
      </c>
      <c r="I14" s="192" t="s">
        <v>131</v>
      </c>
      <c r="J14" s="190" t="s">
        <v>84</v>
      </c>
      <c r="K14" s="193" t="s">
        <v>105</v>
      </c>
      <c r="L14" s="194" t="s">
        <v>106</v>
      </c>
      <c r="M14" s="194" t="s">
        <v>106</v>
      </c>
    </row>
    <row r="15" spans="1:13" ht="12.75">
      <c r="A15" s="153"/>
      <c r="B15" s="129" t="str">
        <f aca="true" t="shared" si="0" ref="B15:B78">IF((C15-1)/12=TRUNC((C15-1)/12),"Year "&amp;(C15-1)/12+1,"")</f>
        <v>Year 1</v>
      </c>
      <c r="C15" s="130">
        <v>1</v>
      </c>
      <c r="D15" s="131">
        <f>E9</f>
        <v>37987</v>
      </c>
      <c r="E15" s="132">
        <f>principal</f>
        <v>260000</v>
      </c>
      <c r="F15" s="195">
        <f aca="true" t="shared" si="1" ref="F15:F33">rate/period*beginning_balance</f>
        <v>1300</v>
      </c>
      <c r="G15" s="133">
        <f>payment-interest</f>
        <v>258.83136539717316</v>
      </c>
      <c r="H15" s="134">
        <f>E15-G15</f>
        <v>259741.16863460283</v>
      </c>
      <c r="I15" s="134">
        <f>F15</f>
        <v>1300</v>
      </c>
      <c r="J15" s="135">
        <f>G15</f>
        <v>258.83136539717316</v>
      </c>
      <c r="K15" s="196">
        <f aca="true" t="shared" si="2" ref="K15:K78">L15+M15</f>
        <v>0</v>
      </c>
      <c r="L15" s="136">
        <v>0</v>
      </c>
      <c r="M15" s="136">
        <v>0</v>
      </c>
    </row>
    <row r="16" spans="1:13" ht="12.75">
      <c r="A16" s="153"/>
      <c r="B16" s="137">
        <f t="shared" si="0"/>
      </c>
      <c r="C16" s="130">
        <f aca="true" t="shared" si="3" ref="C16:C34">1+C15</f>
        <v>2</v>
      </c>
      <c r="D16" s="131">
        <f aca="true" t="shared" si="4" ref="D16:D79">DATE(YEAR(D15),MONTH(D15)+1,DAY(D15))</f>
        <v>38018</v>
      </c>
      <c r="E16" s="132">
        <f aca="true" t="shared" si="5" ref="E16:E79">IF(no_of_payments&gt;=C16,H15,0)</f>
        <v>259741.16863460283</v>
      </c>
      <c r="F16" s="195">
        <f t="shared" si="1"/>
        <v>1298.7058431730143</v>
      </c>
      <c r="G16" s="134">
        <f aca="true" t="shared" si="6" ref="G16:G79">IF(H15-G15&lt;=0,H15,$E$10-F16)</f>
        <v>260.1255222241589</v>
      </c>
      <c r="H16" s="134">
        <f aca="true" t="shared" si="7" ref="H16:H79">IF(E16-G16-K15&gt;=0,E16-G16-K15,0)</f>
        <v>259481.04311237868</v>
      </c>
      <c r="I16" s="134">
        <f aca="true" t="shared" si="8" ref="I16:I79">I15+F16</f>
        <v>2598.7058431730143</v>
      </c>
      <c r="J16" s="138">
        <f aca="true" t="shared" si="9" ref="J16:J79">J15+G16</f>
        <v>518.956887621332</v>
      </c>
      <c r="K16" s="196">
        <f t="shared" si="2"/>
        <v>0</v>
      </c>
      <c r="L16" s="136">
        <f aca="true" t="shared" si="10" ref="L16:L47">L15</f>
        <v>0</v>
      </c>
      <c r="M16" s="136">
        <v>0</v>
      </c>
    </row>
    <row r="17" spans="1:13" ht="12.75">
      <c r="A17" s="153"/>
      <c r="B17" s="137">
        <f t="shared" si="0"/>
      </c>
      <c r="C17" s="130">
        <f t="shared" si="3"/>
        <v>3</v>
      </c>
      <c r="D17" s="131">
        <f t="shared" si="4"/>
        <v>38047</v>
      </c>
      <c r="E17" s="132">
        <f t="shared" si="5"/>
        <v>259481.04311237868</v>
      </c>
      <c r="F17" s="195">
        <f t="shared" si="1"/>
        <v>1297.4052155618936</v>
      </c>
      <c r="G17" s="134">
        <f t="shared" si="6"/>
        <v>261.4261498352796</v>
      </c>
      <c r="H17" s="134">
        <f t="shared" si="7"/>
        <v>259219.6169625434</v>
      </c>
      <c r="I17" s="134">
        <f t="shared" si="8"/>
        <v>3896.1110587349076</v>
      </c>
      <c r="J17" s="138">
        <f t="shared" si="9"/>
        <v>780.3830374566116</v>
      </c>
      <c r="K17" s="196">
        <f t="shared" si="2"/>
        <v>0</v>
      </c>
      <c r="L17" s="136">
        <f t="shared" si="10"/>
        <v>0</v>
      </c>
      <c r="M17" s="136">
        <v>0</v>
      </c>
    </row>
    <row r="18" spans="1:13" ht="12.75">
      <c r="A18" s="153"/>
      <c r="B18" s="137">
        <f t="shared" si="0"/>
      </c>
      <c r="C18" s="130">
        <f t="shared" si="3"/>
        <v>4</v>
      </c>
      <c r="D18" s="131">
        <f t="shared" si="4"/>
        <v>38078</v>
      </c>
      <c r="E18" s="132">
        <f t="shared" si="5"/>
        <v>259219.6169625434</v>
      </c>
      <c r="F18" s="195">
        <f t="shared" si="1"/>
        <v>1296.098084812717</v>
      </c>
      <c r="G18" s="134">
        <f t="shared" si="6"/>
        <v>262.7332805844562</v>
      </c>
      <c r="H18" s="134">
        <f t="shared" si="7"/>
        <v>258956.88368195895</v>
      </c>
      <c r="I18" s="134">
        <f t="shared" si="8"/>
        <v>5192.209143547625</v>
      </c>
      <c r="J18" s="138">
        <f t="shared" si="9"/>
        <v>1043.1163180410679</v>
      </c>
      <c r="K18" s="196">
        <f t="shared" si="2"/>
        <v>0</v>
      </c>
      <c r="L18" s="136">
        <f t="shared" si="10"/>
        <v>0</v>
      </c>
      <c r="M18" s="136">
        <v>0</v>
      </c>
    </row>
    <row r="19" spans="1:13" ht="12.75">
      <c r="A19" s="153"/>
      <c r="B19" s="137">
        <f t="shared" si="0"/>
      </c>
      <c r="C19" s="130">
        <f t="shared" si="3"/>
        <v>5</v>
      </c>
      <c r="D19" s="131">
        <f t="shared" si="4"/>
        <v>38108</v>
      </c>
      <c r="E19" s="132">
        <f t="shared" si="5"/>
        <v>258956.88368195895</v>
      </c>
      <c r="F19" s="195">
        <f t="shared" si="1"/>
        <v>1294.7844184097949</v>
      </c>
      <c r="G19" s="134">
        <f t="shared" si="6"/>
        <v>264.0469469873783</v>
      </c>
      <c r="H19" s="134">
        <f t="shared" si="7"/>
        <v>258692.83673497158</v>
      </c>
      <c r="I19" s="134">
        <f t="shared" si="8"/>
        <v>6486.99356195742</v>
      </c>
      <c r="J19" s="138">
        <f t="shared" si="9"/>
        <v>1307.1632650284462</v>
      </c>
      <c r="K19" s="196">
        <f t="shared" si="2"/>
        <v>0</v>
      </c>
      <c r="L19" s="136">
        <f t="shared" si="10"/>
        <v>0</v>
      </c>
      <c r="M19" s="136">
        <v>0</v>
      </c>
    </row>
    <row r="20" spans="1:13" ht="12.75">
      <c r="A20" s="153"/>
      <c r="B20" s="137">
        <f t="shared" si="0"/>
      </c>
      <c r="C20" s="130">
        <f t="shared" si="3"/>
        <v>6</v>
      </c>
      <c r="D20" s="131">
        <f t="shared" si="4"/>
        <v>38139</v>
      </c>
      <c r="E20" s="132">
        <f t="shared" si="5"/>
        <v>258692.83673497158</v>
      </c>
      <c r="F20" s="195">
        <f t="shared" si="1"/>
        <v>1293.4641836748578</v>
      </c>
      <c r="G20" s="134">
        <f t="shared" si="6"/>
        <v>265.3671817223153</v>
      </c>
      <c r="H20" s="134">
        <f t="shared" si="7"/>
        <v>258427.46955324928</v>
      </c>
      <c r="I20" s="134">
        <f t="shared" si="8"/>
        <v>7780.457745632278</v>
      </c>
      <c r="J20" s="138">
        <f t="shared" si="9"/>
        <v>1572.5304467507615</v>
      </c>
      <c r="K20" s="196">
        <f t="shared" si="2"/>
        <v>0</v>
      </c>
      <c r="L20" s="136">
        <f t="shared" si="10"/>
        <v>0</v>
      </c>
      <c r="M20" s="136">
        <v>0</v>
      </c>
    </row>
    <row r="21" spans="1:13" ht="12.75">
      <c r="A21" s="153"/>
      <c r="B21" s="137">
        <f t="shared" si="0"/>
      </c>
      <c r="C21" s="130">
        <f t="shared" si="3"/>
        <v>7</v>
      </c>
      <c r="D21" s="131">
        <f t="shared" si="4"/>
        <v>38169</v>
      </c>
      <c r="E21" s="132">
        <f t="shared" si="5"/>
        <v>258427.46955324928</v>
      </c>
      <c r="F21" s="195">
        <f t="shared" si="1"/>
        <v>1292.1373477662464</v>
      </c>
      <c r="G21" s="134">
        <f t="shared" si="6"/>
        <v>266.69401763092674</v>
      </c>
      <c r="H21" s="134">
        <f t="shared" si="7"/>
        <v>258160.77553561836</v>
      </c>
      <c r="I21" s="134">
        <f t="shared" si="8"/>
        <v>9072.595093398524</v>
      </c>
      <c r="J21" s="138">
        <f t="shared" si="9"/>
        <v>1839.2244643816882</v>
      </c>
      <c r="K21" s="196">
        <f t="shared" si="2"/>
        <v>0</v>
      </c>
      <c r="L21" s="136">
        <f t="shared" si="10"/>
        <v>0</v>
      </c>
      <c r="M21" s="136">
        <v>0</v>
      </c>
    </row>
    <row r="22" spans="1:13" ht="12.75">
      <c r="A22" s="153"/>
      <c r="B22" s="137">
        <f t="shared" si="0"/>
      </c>
      <c r="C22" s="130">
        <f t="shared" si="3"/>
        <v>8</v>
      </c>
      <c r="D22" s="131">
        <f t="shared" si="4"/>
        <v>38200</v>
      </c>
      <c r="E22" s="132">
        <f t="shared" si="5"/>
        <v>258160.77553561836</v>
      </c>
      <c r="F22" s="195">
        <f t="shared" si="1"/>
        <v>1290.8038776780918</v>
      </c>
      <c r="G22" s="134">
        <f t="shared" si="6"/>
        <v>268.02748771908136</v>
      </c>
      <c r="H22" s="134">
        <f t="shared" si="7"/>
        <v>257892.74804789928</v>
      </c>
      <c r="I22" s="134">
        <f t="shared" si="8"/>
        <v>10363.398971076616</v>
      </c>
      <c r="J22" s="138">
        <f t="shared" si="9"/>
        <v>2107.25195210077</v>
      </c>
      <c r="K22" s="196">
        <f t="shared" si="2"/>
        <v>0</v>
      </c>
      <c r="L22" s="136">
        <f t="shared" si="10"/>
        <v>0</v>
      </c>
      <c r="M22" s="136">
        <v>0</v>
      </c>
    </row>
    <row r="23" spans="1:13" ht="12.75">
      <c r="A23" s="153"/>
      <c r="B23" s="137">
        <f t="shared" si="0"/>
      </c>
      <c r="C23" s="130">
        <f t="shared" si="3"/>
        <v>9</v>
      </c>
      <c r="D23" s="131">
        <f t="shared" si="4"/>
        <v>38231</v>
      </c>
      <c r="E23" s="132">
        <f t="shared" si="5"/>
        <v>257892.74804789928</v>
      </c>
      <c r="F23" s="195">
        <f t="shared" si="1"/>
        <v>1289.4637402394965</v>
      </c>
      <c r="G23" s="134">
        <f t="shared" si="6"/>
        <v>269.3676251576767</v>
      </c>
      <c r="H23" s="134">
        <f t="shared" si="7"/>
        <v>257623.3804227416</v>
      </c>
      <c r="I23" s="134">
        <f t="shared" si="8"/>
        <v>11652.862711316113</v>
      </c>
      <c r="J23" s="138">
        <f t="shared" si="9"/>
        <v>2376.6195772584465</v>
      </c>
      <c r="K23" s="196">
        <f t="shared" si="2"/>
        <v>0</v>
      </c>
      <c r="L23" s="136">
        <f t="shared" si="10"/>
        <v>0</v>
      </c>
      <c r="M23" s="136">
        <v>0</v>
      </c>
    </row>
    <row r="24" spans="1:13" ht="12.75">
      <c r="A24" s="153"/>
      <c r="B24" s="137">
        <f t="shared" si="0"/>
      </c>
      <c r="C24" s="130">
        <f t="shared" si="3"/>
        <v>10</v>
      </c>
      <c r="D24" s="131">
        <f t="shared" si="4"/>
        <v>38261</v>
      </c>
      <c r="E24" s="132">
        <f t="shared" si="5"/>
        <v>257623.3804227416</v>
      </c>
      <c r="F24" s="195">
        <f t="shared" si="1"/>
        <v>1288.1169021137082</v>
      </c>
      <c r="G24" s="134">
        <f t="shared" si="6"/>
        <v>270.71446328346497</v>
      </c>
      <c r="H24" s="134">
        <f t="shared" si="7"/>
        <v>257352.66595945816</v>
      </c>
      <c r="I24" s="134">
        <f t="shared" si="8"/>
        <v>12940.979613429821</v>
      </c>
      <c r="J24" s="138">
        <f t="shared" si="9"/>
        <v>2647.3340405419112</v>
      </c>
      <c r="K24" s="196">
        <f t="shared" si="2"/>
        <v>0</v>
      </c>
      <c r="L24" s="136">
        <f t="shared" si="10"/>
        <v>0</v>
      </c>
      <c r="M24" s="136">
        <v>0</v>
      </c>
    </row>
    <row r="25" spans="1:13" ht="12.75">
      <c r="A25" s="153"/>
      <c r="B25" s="137">
        <f t="shared" si="0"/>
      </c>
      <c r="C25" s="130">
        <f t="shared" si="3"/>
        <v>11</v>
      </c>
      <c r="D25" s="131">
        <f t="shared" si="4"/>
        <v>38292</v>
      </c>
      <c r="E25" s="132">
        <f t="shared" si="5"/>
        <v>257352.66595945816</v>
      </c>
      <c r="F25" s="195">
        <f t="shared" si="1"/>
        <v>1286.763329797291</v>
      </c>
      <c r="G25" s="134">
        <f t="shared" si="6"/>
        <v>272.06803559988225</v>
      </c>
      <c r="H25" s="134">
        <f t="shared" si="7"/>
        <v>257080.59792385827</v>
      </c>
      <c r="I25" s="134">
        <f t="shared" si="8"/>
        <v>14227.742943227113</v>
      </c>
      <c r="J25" s="138">
        <f t="shared" si="9"/>
        <v>2919.4020761417933</v>
      </c>
      <c r="K25" s="196">
        <f t="shared" si="2"/>
        <v>0</v>
      </c>
      <c r="L25" s="136">
        <f t="shared" si="10"/>
        <v>0</v>
      </c>
      <c r="M25" s="136">
        <v>0</v>
      </c>
    </row>
    <row r="26" spans="1:13" ht="12.75">
      <c r="A26" s="153"/>
      <c r="B26" s="137">
        <f t="shared" si="0"/>
      </c>
      <c r="C26" s="130">
        <f t="shared" si="3"/>
        <v>12</v>
      </c>
      <c r="D26" s="131">
        <f t="shared" si="4"/>
        <v>38322</v>
      </c>
      <c r="E26" s="132">
        <f t="shared" si="5"/>
        <v>257080.59792385827</v>
      </c>
      <c r="F26" s="195">
        <f t="shared" si="1"/>
        <v>1285.4029896192912</v>
      </c>
      <c r="G26" s="134">
        <f t="shared" si="6"/>
        <v>273.4283757778819</v>
      </c>
      <c r="H26" s="134">
        <f t="shared" si="7"/>
        <v>256807.1695480804</v>
      </c>
      <c r="I26" s="139">
        <f t="shared" si="8"/>
        <v>15513.145932846404</v>
      </c>
      <c r="J26" s="138">
        <f t="shared" si="9"/>
        <v>3192.8304519196754</v>
      </c>
      <c r="K26" s="196">
        <f t="shared" si="2"/>
        <v>0</v>
      </c>
      <c r="L26" s="136">
        <f t="shared" si="10"/>
        <v>0</v>
      </c>
      <c r="M26" s="136">
        <v>0</v>
      </c>
    </row>
    <row r="27" spans="1:13" ht="12.75">
      <c r="A27" s="153"/>
      <c r="B27" s="137" t="str">
        <f t="shared" si="0"/>
        <v>Year 2</v>
      </c>
      <c r="C27" s="130">
        <f t="shared" si="3"/>
        <v>13</v>
      </c>
      <c r="D27" s="131">
        <f t="shared" si="4"/>
        <v>38353</v>
      </c>
      <c r="E27" s="132">
        <f t="shared" si="5"/>
        <v>256807.1695480804</v>
      </c>
      <c r="F27" s="195">
        <f t="shared" si="1"/>
        <v>1284.035847740402</v>
      </c>
      <c r="G27" s="134">
        <f t="shared" si="6"/>
        <v>274.79551765677115</v>
      </c>
      <c r="H27" s="134">
        <f t="shared" si="7"/>
        <v>256532.3740304236</v>
      </c>
      <c r="I27" s="134">
        <f t="shared" si="8"/>
        <v>16797.181780586805</v>
      </c>
      <c r="J27" s="138">
        <f t="shared" si="9"/>
        <v>3467.6259695764466</v>
      </c>
      <c r="K27" s="196">
        <f t="shared" si="2"/>
        <v>0</v>
      </c>
      <c r="L27" s="136">
        <f t="shared" si="10"/>
        <v>0</v>
      </c>
      <c r="M27" s="136">
        <v>0</v>
      </c>
    </row>
    <row r="28" spans="1:13" ht="12.75">
      <c r="A28" s="153"/>
      <c r="B28" s="137">
        <f t="shared" si="0"/>
      </c>
      <c r="C28" s="130">
        <f t="shared" si="3"/>
        <v>14</v>
      </c>
      <c r="D28" s="131">
        <f t="shared" si="4"/>
        <v>38384</v>
      </c>
      <c r="E28" s="132">
        <f t="shared" si="5"/>
        <v>256532.3740304236</v>
      </c>
      <c r="F28" s="195">
        <f t="shared" si="1"/>
        <v>1282.6618701521181</v>
      </c>
      <c r="G28" s="134">
        <f t="shared" si="6"/>
        <v>276.16949524505503</v>
      </c>
      <c r="H28" s="134">
        <f t="shared" si="7"/>
        <v>256256.20453517855</v>
      </c>
      <c r="I28" s="134">
        <f t="shared" si="8"/>
        <v>18079.843650738923</v>
      </c>
      <c r="J28" s="138">
        <f t="shared" si="9"/>
        <v>3743.795464821502</v>
      </c>
      <c r="K28" s="196">
        <f t="shared" si="2"/>
        <v>0</v>
      </c>
      <c r="L28" s="136">
        <f t="shared" si="10"/>
        <v>0</v>
      </c>
      <c r="M28" s="136">
        <v>0</v>
      </c>
    </row>
    <row r="29" spans="1:13" ht="12.75">
      <c r="A29" s="153"/>
      <c r="B29" s="137">
        <f t="shared" si="0"/>
      </c>
      <c r="C29" s="130">
        <f t="shared" si="3"/>
        <v>15</v>
      </c>
      <c r="D29" s="131">
        <f t="shared" si="4"/>
        <v>38412</v>
      </c>
      <c r="E29" s="132">
        <f t="shared" si="5"/>
        <v>256256.20453517855</v>
      </c>
      <c r="F29" s="195">
        <f t="shared" si="1"/>
        <v>1281.2810226758927</v>
      </c>
      <c r="G29" s="134">
        <f t="shared" si="6"/>
        <v>277.55034272128046</v>
      </c>
      <c r="H29" s="134">
        <f t="shared" si="7"/>
        <v>255978.65419245727</v>
      </c>
      <c r="I29" s="134">
        <f t="shared" si="8"/>
        <v>19361.124673414815</v>
      </c>
      <c r="J29" s="138">
        <f t="shared" si="9"/>
        <v>4021.3458075427825</v>
      </c>
      <c r="K29" s="196">
        <f t="shared" si="2"/>
        <v>0</v>
      </c>
      <c r="L29" s="136">
        <f t="shared" si="10"/>
        <v>0</v>
      </c>
      <c r="M29" s="136">
        <v>0</v>
      </c>
    </row>
    <row r="30" spans="1:13" ht="12.75">
      <c r="A30" s="153"/>
      <c r="B30" s="137">
        <f t="shared" si="0"/>
      </c>
      <c r="C30" s="130">
        <f t="shared" si="3"/>
        <v>16</v>
      </c>
      <c r="D30" s="131">
        <f t="shared" si="4"/>
        <v>38443</v>
      </c>
      <c r="E30" s="132">
        <f t="shared" si="5"/>
        <v>255978.65419245727</v>
      </c>
      <c r="F30" s="195">
        <f t="shared" si="1"/>
        <v>1279.8932709622864</v>
      </c>
      <c r="G30" s="134">
        <f t="shared" si="6"/>
        <v>278.9380944348868</v>
      </c>
      <c r="H30" s="134">
        <f t="shared" si="7"/>
        <v>255699.71609802239</v>
      </c>
      <c r="I30" s="134">
        <f t="shared" si="8"/>
        <v>20641.0179443771</v>
      </c>
      <c r="J30" s="138">
        <f t="shared" si="9"/>
        <v>4300.283901977669</v>
      </c>
      <c r="K30" s="196">
        <f t="shared" si="2"/>
        <v>0</v>
      </c>
      <c r="L30" s="136">
        <f t="shared" si="10"/>
        <v>0</v>
      </c>
      <c r="M30" s="136">
        <v>0</v>
      </c>
    </row>
    <row r="31" spans="1:13" ht="12.75">
      <c r="A31" s="153"/>
      <c r="B31" s="137">
        <f t="shared" si="0"/>
      </c>
      <c r="C31" s="130">
        <f t="shared" si="3"/>
        <v>17</v>
      </c>
      <c r="D31" s="131">
        <f t="shared" si="4"/>
        <v>38473</v>
      </c>
      <c r="E31" s="132">
        <f t="shared" si="5"/>
        <v>255699.71609802239</v>
      </c>
      <c r="F31" s="195">
        <f t="shared" si="1"/>
        <v>1278.4985804901119</v>
      </c>
      <c r="G31" s="134">
        <f t="shared" si="6"/>
        <v>280.3327849070613</v>
      </c>
      <c r="H31" s="134">
        <f t="shared" si="7"/>
        <v>255419.38331311534</v>
      </c>
      <c r="I31" s="134">
        <f t="shared" si="8"/>
        <v>21919.516524867213</v>
      </c>
      <c r="J31" s="138">
        <f t="shared" si="9"/>
        <v>4580.61668688473</v>
      </c>
      <c r="K31" s="196">
        <f t="shared" si="2"/>
        <v>0</v>
      </c>
      <c r="L31" s="136">
        <f t="shared" si="10"/>
        <v>0</v>
      </c>
      <c r="M31" s="136">
        <v>0</v>
      </c>
    </row>
    <row r="32" spans="1:13" ht="12.75">
      <c r="A32" s="153"/>
      <c r="B32" s="137">
        <f t="shared" si="0"/>
      </c>
      <c r="C32" s="130">
        <f t="shared" si="3"/>
        <v>18</v>
      </c>
      <c r="D32" s="131">
        <f t="shared" si="4"/>
        <v>38504</v>
      </c>
      <c r="E32" s="132">
        <f t="shared" si="5"/>
        <v>255419.38331311534</v>
      </c>
      <c r="F32" s="195">
        <f t="shared" si="1"/>
        <v>1277.0969165655767</v>
      </c>
      <c r="G32" s="134">
        <f t="shared" si="6"/>
        <v>281.7344488315964</v>
      </c>
      <c r="H32" s="134">
        <f t="shared" si="7"/>
        <v>255137.64886428375</v>
      </c>
      <c r="I32" s="134">
        <f t="shared" si="8"/>
        <v>23196.61344143279</v>
      </c>
      <c r="J32" s="138">
        <f t="shared" si="9"/>
        <v>4862.351135716327</v>
      </c>
      <c r="K32" s="196">
        <f t="shared" si="2"/>
        <v>0</v>
      </c>
      <c r="L32" s="136">
        <f t="shared" si="10"/>
        <v>0</v>
      </c>
      <c r="M32" s="136">
        <v>0</v>
      </c>
    </row>
    <row r="33" spans="1:13" ht="12.75">
      <c r="A33" s="153"/>
      <c r="B33" s="137">
        <f t="shared" si="0"/>
      </c>
      <c r="C33" s="130">
        <f t="shared" si="3"/>
        <v>19</v>
      </c>
      <c r="D33" s="131">
        <f t="shared" si="4"/>
        <v>38534</v>
      </c>
      <c r="E33" s="132">
        <f t="shared" si="5"/>
        <v>255137.64886428375</v>
      </c>
      <c r="F33" s="195">
        <f t="shared" si="1"/>
        <v>1275.6882443214188</v>
      </c>
      <c r="G33" s="134">
        <f t="shared" si="6"/>
        <v>283.1431210757544</v>
      </c>
      <c r="H33" s="134">
        <f t="shared" si="7"/>
        <v>254854.505743208</v>
      </c>
      <c r="I33" s="134">
        <f t="shared" si="8"/>
        <v>24472.30168575421</v>
      </c>
      <c r="J33" s="138">
        <f t="shared" si="9"/>
        <v>5145.494256792082</v>
      </c>
      <c r="K33" s="196">
        <f t="shared" si="2"/>
        <v>0</v>
      </c>
      <c r="L33" s="136">
        <f t="shared" si="10"/>
        <v>0</v>
      </c>
      <c r="M33" s="136">
        <v>0</v>
      </c>
    </row>
    <row r="34" spans="1:13" ht="12.75">
      <c r="A34" s="153"/>
      <c r="B34" s="137">
        <f t="shared" si="0"/>
      </c>
      <c r="C34" s="130">
        <f t="shared" si="3"/>
        <v>20</v>
      </c>
      <c r="D34" s="131">
        <f t="shared" si="4"/>
        <v>38565</v>
      </c>
      <c r="E34" s="132">
        <f t="shared" si="5"/>
        <v>254854.505743208</v>
      </c>
      <c r="F34" s="195">
        <f aca="true" t="shared" si="11" ref="F34:F97">$E$6/$E$8*E34</f>
        <v>1274.27252871604</v>
      </c>
      <c r="G34" s="134">
        <f t="shared" si="6"/>
        <v>284.55883668113324</v>
      </c>
      <c r="H34" s="134">
        <f t="shared" si="7"/>
        <v>254569.94690652686</v>
      </c>
      <c r="I34" s="134">
        <f t="shared" si="8"/>
        <v>25746.57421447025</v>
      </c>
      <c r="J34" s="138">
        <f t="shared" si="9"/>
        <v>5430.053093473215</v>
      </c>
      <c r="K34" s="196">
        <f t="shared" si="2"/>
        <v>0</v>
      </c>
      <c r="L34" s="136">
        <f t="shared" si="10"/>
        <v>0</v>
      </c>
      <c r="M34" s="136">
        <v>0</v>
      </c>
    </row>
    <row r="35" spans="2:13" ht="12.75">
      <c r="B35" s="137">
        <f t="shared" si="0"/>
      </c>
      <c r="C35" s="130">
        <v>21</v>
      </c>
      <c r="D35" s="131">
        <f t="shared" si="4"/>
        <v>38596</v>
      </c>
      <c r="E35" s="132">
        <f t="shared" si="5"/>
        <v>254569.94690652686</v>
      </c>
      <c r="F35" s="195">
        <f t="shared" si="11"/>
        <v>1272.8497345326343</v>
      </c>
      <c r="G35" s="134">
        <f t="shared" si="6"/>
        <v>285.98163086453883</v>
      </c>
      <c r="H35" s="134">
        <f t="shared" si="7"/>
        <v>254283.9652756623</v>
      </c>
      <c r="I35" s="134">
        <f t="shared" si="8"/>
        <v>27019.423949002885</v>
      </c>
      <c r="J35" s="138">
        <f t="shared" si="9"/>
        <v>5716.034724337754</v>
      </c>
      <c r="K35" s="196">
        <f t="shared" si="2"/>
        <v>0</v>
      </c>
      <c r="L35" s="136">
        <f t="shared" si="10"/>
        <v>0</v>
      </c>
      <c r="M35" s="136">
        <v>0</v>
      </c>
    </row>
    <row r="36" spans="2:13" ht="12.75">
      <c r="B36" s="137">
        <f t="shared" si="0"/>
      </c>
      <c r="C36" s="130">
        <v>22</v>
      </c>
      <c r="D36" s="131">
        <f t="shared" si="4"/>
        <v>38626</v>
      </c>
      <c r="E36" s="132">
        <f t="shared" si="5"/>
        <v>254283.9652756623</v>
      </c>
      <c r="F36" s="195">
        <f t="shared" si="11"/>
        <v>1271.4198263783117</v>
      </c>
      <c r="G36" s="134">
        <f t="shared" si="6"/>
        <v>287.4115390188615</v>
      </c>
      <c r="H36" s="134">
        <f t="shared" si="7"/>
        <v>253996.55373664346</v>
      </c>
      <c r="I36" s="134">
        <f t="shared" si="8"/>
        <v>28290.843775381196</v>
      </c>
      <c r="J36" s="138">
        <f t="shared" si="9"/>
        <v>6003.446263356615</v>
      </c>
      <c r="K36" s="196">
        <f t="shared" si="2"/>
        <v>0</v>
      </c>
      <c r="L36" s="136">
        <f t="shared" si="10"/>
        <v>0</v>
      </c>
      <c r="M36" s="136">
        <v>0</v>
      </c>
    </row>
    <row r="37" spans="2:13" ht="12.75">
      <c r="B37" s="137">
        <f t="shared" si="0"/>
      </c>
      <c r="C37" s="130">
        <v>23</v>
      </c>
      <c r="D37" s="131">
        <f t="shared" si="4"/>
        <v>38657</v>
      </c>
      <c r="E37" s="132">
        <f t="shared" si="5"/>
        <v>253996.55373664346</v>
      </c>
      <c r="F37" s="195">
        <f t="shared" si="11"/>
        <v>1269.9827686832173</v>
      </c>
      <c r="G37" s="134">
        <f t="shared" si="6"/>
        <v>288.8485967139559</v>
      </c>
      <c r="H37" s="134">
        <f t="shared" si="7"/>
        <v>253707.70513992952</v>
      </c>
      <c r="I37" s="134">
        <f t="shared" si="8"/>
        <v>29560.826544064414</v>
      </c>
      <c r="J37" s="138">
        <f t="shared" si="9"/>
        <v>6292.294860070571</v>
      </c>
      <c r="K37" s="196">
        <f t="shared" si="2"/>
        <v>0</v>
      </c>
      <c r="L37" s="136">
        <f t="shared" si="10"/>
        <v>0</v>
      </c>
      <c r="M37" s="136">
        <v>0</v>
      </c>
    </row>
    <row r="38" spans="2:13" ht="12.75">
      <c r="B38" s="137">
        <f t="shared" si="0"/>
      </c>
      <c r="C38" s="130">
        <v>24</v>
      </c>
      <c r="D38" s="131">
        <f t="shared" si="4"/>
        <v>38687</v>
      </c>
      <c r="E38" s="132">
        <f t="shared" si="5"/>
        <v>253707.70513992952</v>
      </c>
      <c r="F38" s="195">
        <f t="shared" si="11"/>
        <v>1268.5385256996476</v>
      </c>
      <c r="G38" s="134">
        <f t="shared" si="6"/>
        <v>290.29283969752555</v>
      </c>
      <c r="H38" s="134">
        <f t="shared" si="7"/>
        <v>253417.41230023198</v>
      </c>
      <c r="I38" s="134">
        <f t="shared" si="8"/>
        <v>30829.365069764062</v>
      </c>
      <c r="J38" s="138">
        <f t="shared" si="9"/>
        <v>6582.587699768097</v>
      </c>
      <c r="K38" s="196">
        <f t="shared" si="2"/>
        <v>0</v>
      </c>
      <c r="L38" s="136">
        <f t="shared" si="10"/>
        <v>0</v>
      </c>
      <c r="M38" s="136">
        <v>0</v>
      </c>
    </row>
    <row r="39" spans="2:13" ht="12.75">
      <c r="B39" s="137" t="str">
        <f t="shared" si="0"/>
        <v>Year 3</v>
      </c>
      <c r="C39" s="130">
        <v>25</v>
      </c>
      <c r="D39" s="131">
        <f t="shared" si="4"/>
        <v>38718</v>
      </c>
      <c r="E39" s="132">
        <f t="shared" si="5"/>
        <v>253417.41230023198</v>
      </c>
      <c r="F39" s="195">
        <f t="shared" si="11"/>
        <v>1267.08706150116</v>
      </c>
      <c r="G39" s="134">
        <f t="shared" si="6"/>
        <v>291.7443038960132</v>
      </c>
      <c r="H39" s="134">
        <f t="shared" si="7"/>
        <v>253125.66799633598</v>
      </c>
      <c r="I39" s="134">
        <f t="shared" si="8"/>
        <v>32096.45213126522</v>
      </c>
      <c r="J39" s="138">
        <f t="shared" si="9"/>
        <v>6874.332003664111</v>
      </c>
      <c r="K39" s="196">
        <f t="shared" si="2"/>
        <v>0</v>
      </c>
      <c r="L39" s="136">
        <f t="shared" si="10"/>
        <v>0</v>
      </c>
      <c r="M39" s="136">
        <v>0</v>
      </c>
    </row>
    <row r="40" spans="2:13" ht="12.75">
      <c r="B40" s="137">
        <f t="shared" si="0"/>
      </c>
      <c r="C40" s="130">
        <v>26</v>
      </c>
      <c r="D40" s="131">
        <f t="shared" si="4"/>
        <v>38749</v>
      </c>
      <c r="E40" s="132">
        <f t="shared" si="5"/>
        <v>253125.66799633598</v>
      </c>
      <c r="F40" s="195">
        <f t="shared" si="11"/>
        <v>1265.62833998168</v>
      </c>
      <c r="G40" s="134">
        <f t="shared" si="6"/>
        <v>293.20302541549313</v>
      </c>
      <c r="H40" s="134">
        <f t="shared" si="7"/>
        <v>252832.4649709205</v>
      </c>
      <c r="I40" s="134">
        <f t="shared" si="8"/>
        <v>33362.0804712469</v>
      </c>
      <c r="J40" s="138">
        <f t="shared" si="9"/>
        <v>7167.535029079604</v>
      </c>
      <c r="K40" s="196">
        <f t="shared" si="2"/>
        <v>0</v>
      </c>
      <c r="L40" s="136">
        <f t="shared" si="10"/>
        <v>0</v>
      </c>
      <c r="M40" s="136">
        <v>0</v>
      </c>
    </row>
    <row r="41" spans="2:13" ht="12.75">
      <c r="B41" s="137">
        <f t="shared" si="0"/>
      </c>
      <c r="C41" s="130">
        <v>27</v>
      </c>
      <c r="D41" s="131">
        <f t="shared" si="4"/>
        <v>38777</v>
      </c>
      <c r="E41" s="132">
        <f t="shared" si="5"/>
        <v>252832.4649709205</v>
      </c>
      <c r="F41" s="195">
        <f t="shared" si="11"/>
        <v>1264.1623248546025</v>
      </c>
      <c r="G41" s="134">
        <f t="shared" si="6"/>
        <v>294.66904054257066</v>
      </c>
      <c r="H41" s="134">
        <f t="shared" si="7"/>
        <v>252537.79593037794</v>
      </c>
      <c r="I41" s="134">
        <f t="shared" si="8"/>
        <v>34626.242796101506</v>
      </c>
      <c r="J41" s="138">
        <f t="shared" si="9"/>
        <v>7462.204069622175</v>
      </c>
      <c r="K41" s="196">
        <f t="shared" si="2"/>
        <v>0</v>
      </c>
      <c r="L41" s="136">
        <f t="shared" si="10"/>
        <v>0</v>
      </c>
      <c r="M41" s="136">
        <v>0</v>
      </c>
    </row>
    <row r="42" spans="2:13" ht="12.75">
      <c r="B42" s="137">
        <f t="shared" si="0"/>
      </c>
      <c r="C42" s="130">
        <v>28</v>
      </c>
      <c r="D42" s="131">
        <f t="shared" si="4"/>
        <v>38808</v>
      </c>
      <c r="E42" s="132">
        <f t="shared" si="5"/>
        <v>252537.79593037794</v>
      </c>
      <c r="F42" s="195">
        <f t="shared" si="11"/>
        <v>1262.6889796518897</v>
      </c>
      <c r="G42" s="134">
        <f t="shared" si="6"/>
        <v>296.1423857452835</v>
      </c>
      <c r="H42" s="134">
        <f t="shared" si="7"/>
        <v>252241.65354463266</v>
      </c>
      <c r="I42" s="134">
        <f t="shared" si="8"/>
        <v>35888.93177575339</v>
      </c>
      <c r="J42" s="138">
        <f t="shared" si="9"/>
        <v>7758.3464553674585</v>
      </c>
      <c r="K42" s="196">
        <f t="shared" si="2"/>
        <v>0</v>
      </c>
      <c r="L42" s="136">
        <f t="shared" si="10"/>
        <v>0</v>
      </c>
      <c r="M42" s="136">
        <v>0</v>
      </c>
    </row>
    <row r="43" spans="2:13" ht="12.75">
      <c r="B43" s="137">
        <f t="shared" si="0"/>
      </c>
      <c r="C43" s="130">
        <v>29</v>
      </c>
      <c r="D43" s="131">
        <f t="shared" si="4"/>
        <v>38838</v>
      </c>
      <c r="E43" s="132">
        <f t="shared" si="5"/>
        <v>252241.65354463266</v>
      </c>
      <c r="F43" s="195">
        <f t="shared" si="11"/>
        <v>1261.2082677231633</v>
      </c>
      <c r="G43" s="134">
        <f t="shared" si="6"/>
        <v>297.62309767400984</v>
      </c>
      <c r="H43" s="134">
        <f t="shared" si="7"/>
        <v>251944.03044695864</v>
      </c>
      <c r="I43" s="134">
        <f t="shared" si="8"/>
        <v>37150.14004347656</v>
      </c>
      <c r="J43" s="138">
        <f t="shared" si="9"/>
        <v>8055.969553041468</v>
      </c>
      <c r="K43" s="196">
        <f t="shared" si="2"/>
        <v>0</v>
      </c>
      <c r="L43" s="136">
        <f t="shared" si="10"/>
        <v>0</v>
      </c>
      <c r="M43" s="136">
        <v>0</v>
      </c>
    </row>
    <row r="44" spans="2:13" ht="12.75">
      <c r="B44" s="137">
        <f t="shared" si="0"/>
      </c>
      <c r="C44" s="130">
        <v>30</v>
      </c>
      <c r="D44" s="131">
        <f t="shared" si="4"/>
        <v>38869</v>
      </c>
      <c r="E44" s="132">
        <f t="shared" si="5"/>
        <v>251944.03044695864</v>
      </c>
      <c r="F44" s="195">
        <f t="shared" si="11"/>
        <v>1259.7201522347932</v>
      </c>
      <c r="G44" s="134">
        <f t="shared" si="6"/>
        <v>299.11121316237995</v>
      </c>
      <c r="H44" s="134">
        <f t="shared" si="7"/>
        <v>251644.91923379627</v>
      </c>
      <c r="I44" s="134">
        <f t="shared" si="8"/>
        <v>38409.86019571136</v>
      </c>
      <c r="J44" s="138">
        <f t="shared" si="9"/>
        <v>8355.080766203848</v>
      </c>
      <c r="K44" s="196">
        <f t="shared" si="2"/>
        <v>0</v>
      </c>
      <c r="L44" s="136">
        <f t="shared" si="10"/>
        <v>0</v>
      </c>
      <c r="M44" s="136">
        <v>0</v>
      </c>
    </row>
    <row r="45" spans="2:13" ht="12.75">
      <c r="B45" s="137">
        <f t="shared" si="0"/>
      </c>
      <c r="C45" s="130">
        <v>31</v>
      </c>
      <c r="D45" s="131">
        <f t="shared" si="4"/>
        <v>38899</v>
      </c>
      <c r="E45" s="132">
        <f t="shared" si="5"/>
        <v>251644.91923379627</v>
      </c>
      <c r="F45" s="195">
        <f t="shared" si="11"/>
        <v>1258.2245961689814</v>
      </c>
      <c r="G45" s="134">
        <f t="shared" si="6"/>
        <v>300.60676922819175</v>
      </c>
      <c r="H45" s="134">
        <f t="shared" si="7"/>
        <v>251344.3124645681</v>
      </c>
      <c r="I45" s="134">
        <f t="shared" si="8"/>
        <v>39668.08479188034</v>
      </c>
      <c r="J45" s="138">
        <f t="shared" si="9"/>
        <v>8655.68753543204</v>
      </c>
      <c r="K45" s="196">
        <f t="shared" si="2"/>
        <v>0</v>
      </c>
      <c r="L45" s="136">
        <f t="shared" si="10"/>
        <v>0</v>
      </c>
      <c r="M45" s="136">
        <v>0</v>
      </c>
    </row>
    <row r="46" spans="2:13" ht="12.75">
      <c r="B46" s="137">
        <f t="shared" si="0"/>
      </c>
      <c r="C46" s="130">
        <v>32</v>
      </c>
      <c r="D46" s="131">
        <f t="shared" si="4"/>
        <v>38930</v>
      </c>
      <c r="E46" s="132">
        <f t="shared" si="5"/>
        <v>251344.3124645681</v>
      </c>
      <c r="F46" s="195">
        <f t="shared" si="11"/>
        <v>1256.7215623228406</v>
      </c>
      <c r="G46" s="134">
        <f t="shared" si="6"/>
        <v>302.1098030743326</v>
      </c>
      <c r="H46" s="134">
        <f t="shared" si="7"/>
        <v>251042.20266149376</v>
      </c>
      <c r="I46" s="134">
        <f t="shared" si="8"/>
        <v>40924.80635420318</v>
      </c>
      <c r="J46" s="138">
        <f t="shared" si="9"/>
        <v>8957.797338506372</v>
      </c>
      <c r="K46" s="196">
        <f t="shared" si="2"/>
        <v>0</v>
      </c>
      <c r="L46" s="136">
        <f t="shared" si="10"/>
        <v>0</v>
      </c>
      <c r="M46" s="136">
        <v>0</v>
      </c>
    </row>
    <row r="47" spans="2:13" ht="12.75">
      <c r="B47" s="137">
        <f t="shared" si="0"/>
      </c>
      <c r="C47" s="130">
        <v>33</v>
      </c>
      <c r="D47" s="131">
        <f t="shared" si="4"/>
        <v>38961</v>
      </c>
      <c r="E47" s="132">
        <f t="shared" si="5"/>
        <v>251042.20266149376</v>
      </c>
      <c r="F47" s="195">
        <f t="shared" si="11"/>
        <v>1255.2110133074689</v>
      </c>
      <c r="G47" s="134">
        <f t="shared" si="6"/>
        <v>303.6203520897043</v>
      </c>
      <c r="H47" s="134">
        <f t="shared" si="7"/>
        <v>250738.58230940407</v>
      </c>
      <c r="I47" s="134">
        <f t="shared" si="8"/>
        <v>42180.01736751065</v>
      </c>
      <c r="J47" s="138">
        <f t="shared" si="9"/>
        <v>9261.417690596078</v>
      </c>
      <c r="K47" s="196">
        <f t="shared" si="2"/>
        <v>0</v>
      </c>
      <c r="L47" s="136">
        <f t="shared" si="10"/>
        <v>0</v>
      </c>
      <c r="M47" s="136">
        <v>0</v>
      </c>
    </row>
    <row r="48" spans="2:13" ht="12.75">
      <c r="B48" s="137">
        <f t="shared" si="0"/>
      </c>
      <c r="C48" s="130">
        <v>34</v>
      </c>
      <c r="D48" s="131">
        <f t="shared" si="4"/>
        <v>38991</v>
      </c>
      <c r="E48" s="132">
        <f t="shared" si="5"/>
        <v>250738.58230940407</v>
      </c>
      <c r="F48" s="195">
        <f t="shared" si="11"/>
        <v>1253.6929115470205</v>
      </c>
      <c r="G48" s="134">
        <f t="shared" si="6"/>
        <v>305.1384538501527</v>
      </c>
      <c r="H48" s="134">
        <f t="shared" si="7"/>
        <v>250433.44385555392</v>
      </c>
      <c r="I48" s="134">
        <f t="shared" si="8"/>
        <v>43433.71027905767</v>
      </c>
      <c r="J48" s="138">
        <f t="shared" si="9"/>
        <v>9566.556144446231</v>
      </c>
      <c r="K48" s="196">
        <f t="shared" si="2"/>
        <v>0</v>
      </c>
      <c r="L48" s="136">
        <f aca="true" t="shared" si="12" ref="L48:L73">L47</f>
        <v>0</v>
      </c>
      <c r="M48" s="136">
        <v>0</v>
      </c>
    </row>
    <row r="49" spans="2:13" ht="12.75">
      <c r="B49" s="137">
        <f t="shared" si="0"/>
      </c>
      <c r="C49" s="130">
        <v>35</v>
      </c>
      <c r="D49" s="131">
        <f t="shared" si="4"/>
        <v>39022</v>
      </c>
      <c r="E49" s="132">
        <f t="shared" si="5"/>
        <v>250433.44385555392</v>
      </c>
      <c r="F49" s="195">
        <f t="shared" si="11"/>
        <v>1252.1672192777696</v>
      </c>
      <c r="G49" s="134">
        <f t="shared" si="6"/>
        <v>306.66414611940354</v>
      </c>
      <c r="H49" s="134">
        <f t="shared" si="7"/>
        <v>250126.77970943452</v>
      </c>
      <c r="I49" s="134">
        <f t="shared" si="8"/>
        <v>44685.87749833544</v>
      </c>
      <c r="J49" s="138">
        <f t="shared" si="9"/>
        <v>9873.220290565634</v>
      </c>
      <c r="K49" s="196">
        <f t="shared" si="2"/>
        <v>0</v>
      </c>
      <c r="L49" s="136">
        <f t="shared" si="12"/>
        <v>0</v>
      </c>
      <c r="M49" s="136">
        <v>0</v>
      </c>
    </row>
    <row r="50" spans="2:13" ht="12.75">
      <c r="B50" s="137">
        <f t="shared" si="0"/>
      </c>
      <c r="C50" s="130">
        <v>36</v>
      </c>
      <c r="D50" s="131">
        <f t="shared" si="4"/>
        <v>39052</v>
      </c>
      <c r="E50" s="132">
        <f t="shared" si="5"/>
        <v>250126.77970943452</v>
      </c>
      <c r="F50" s="195">
        <f t="shared" si="11"/>
        <v>1250.6338985471725</v>
      </c>
      <c r="G50" s="134">
        <f t="shared" si="6"/>
        <v>308.19746685000064</v>
      </c>
      <c r="H50" s="134">
        <f t="shared" si="7"/>
        <v>249818.58224258453</v>
      </c>
      <c r="I50" s="134">
        <f t="shared" si="8"/>
        <v>45936.51139688261</v>
      </c>
      <c r="J50" s="138">
        <f t="shared" si="9"/>
        <v>10181.417757415635</v>
      </c>
      <c r="K50" s="196">
        <f t="shared" si="2"/>
        <v>0</v>
      </c>
      <c r="L50" s="136">
        <f t="shared" si="12"/>
        <v>0</v>
      </c>
      <c r="M50" s="136">
        <v>0</v>
      </c>
    </row>
    <row r="51" spans="2:13" ht="12.75">
      <c r="B51" s="137" t="str">
        <f t="shared" si="0"/>
        <v>Year 4</v>
      </c>
      <c r="C51" s="130">
        <v>37</v>
      </c>
      <c r="D51" s="131">
        <f t="shared" si="4"/>
        <v>39083</v>
      </c>
      <c r="E51" s="132">
        <f t="shared" si="5"/>
        <v>249818.58224258453</v>
      </c>
      <c r="F51" s="195">
        <f t="shared" si="11"/>
        <v>1249.0929112129227</v>
      </c>
      <c r="G51" s="134">
        <f t="shared" si="6"/>
        <v>309.7384541842505</v>
      </c>
      <c r="H51" s="134">
        <f t="shared" si="7"/>
        <v>249508.84378840026</v>
      </c>
      <c r="I51" s="134">
        <f t="shared" si="8"/>
        <v>47185.604308095535</v>
      </c>
      <c r="J51" s="138">
        <f t="shared" si="9"/>
        <v>10491.156211599886</v>
      </c>
      <c r="K51" s="196">
        <f t="shared" si="2"/>
        <v>0</v>
      </c>
      <c r="L51" s="136">
        <f t="shared" si="12"/>
        <v>0</v>
      </c>
      <c r="M51" s="136">
        <v>0</v>
      </c>
    </row>
    <row r="52" spans="2:13" ht="12.75">
      <c r="B52" s="137">
        <f t="shared" si="0"/>
      </c>
      <c r="C52" s="130">
        <v>38</v>
      </c>
      <c r="D52" s="131">
        <f t="shared" si="4"/>
        <v>39114</v>
      </c>
      <c r="E52" s="132">
        <f t="shared" si="5"/>
        <v>249508.84378840026</v>
      </c>
      <c r="F52" s="195">
        <f t="shared" si="11"/>
        <v>1247.5442189420014</v>
      </c>
      <c r="G52" s="134">
        <f t="shared" si="6"/>
        <v>311.28714645517175</v>
      </c>
      <c r="H52" s="134">
        <f t="shared" si="7"/>
        <v>249197.5566419451</v>
      </c>
      <c r="I52" s="134">
        <f t="shared" si="8"/>
        <v>48433.148527037534</v>
      </c>
      <c r="J52" s="138">
        <f t="shared" si="9"/>
        <v>10802.443358055058</v>
      </c>
      <c r="K52" s="196">
        <f t="shared" si="2"/>
        <v>0</v>
      </c>
      <c r="L52" s="136">
        <f t="shared" si="12"/>
        <v>0</v>
      </c>
      <c r="M52" s="136">
        <v>0</v>
      </c>
    </row>
    <row r="53" spans="2:13" ht="12.75">
      <c r="B53" s="137">
        <f t="shared" si="0"/>
      </c>
      <c r="C53" s="130">
        <v>39</v>
      </c>
      <c r="D53" s="131">
        <f t="shared" si="4"/>
        <v>39142</v>
      </c>
      <c r="E53" s="132">
        <f t="shared" si="5"/>
        <v>249197.5566419451</v>
      </c>
      <c r="F53" s="195">
        <f t="shared" si="11"/>
        <v>1245.9877832097254</v>
      </c>
      <c r="G53" s="134">
        <f t="shared" si="6"/>
        <v>312.84358218744774</v>
      </c>
      <c r="H53" s="134">
        <f t="shared" si="7"/>
        <v>248884.71305975763</v>
      </c>
      <c r="I53" s="134">
        <f t="shared" si="8"/>
        <v>49679.13631024726</v>
      </c>
      <c r="J53" s="138">
        <f t="shared" si="9"/>
        <v>11115.286940242506</v>
      </c>
      <c r="K53" s="196">
        <f t="shared" si="2"/>
        <v>0</v>
      </c>
      <c r="L53" s="136">
        <f t="shared" si="12"/>
        <v>0</v>
      </c>
      <c r="M53" s="136">
        <v>0</v>
      </c>
    </row>
    <row r="54" spans="2:13" ht="12.75">
      <c r="B54" s="137">
        <f t="shared" si="0"/>
      </c>
      <c r="C54" s="130">
        <v>40</v>
      </c>
      <c r="D54" s="131">
        <f t="shared" si="4"/>
        <v>39173</v>
      </c>
      <c r="E54" s="132">
        <f t="shared" si="5"/>
        <v>248884.71305975763</v>
      </c>
      <c r="F54" s="195">
        <f t="shared" si="11"/>
        <v>1244.4235652987882</v>
      </c>
      <c r="G54" s="134">
        <f t="shared" si="6"/>
        <v>314.407800098385</v>
      </c>
      <c r="H54" s="134">
        <f t="shared" si="7"/>
        <v>248570.30525965925</v>
      </c>
      <c r="I54" s="134">
        <f t="shared" si="8"/>
        <v>50923.55987554605</v>
      </c>
      <c r="J54" s="138">
        <f t="shared" si="9"/>
        <v>11429.69474034089</v>
      </c>
      <c r="K54" s="196">
        <f t="shared" si="2"/>
        <v>0</v>
      </c>
      <c r="L54" s="136">
        <f t="shared" si="12"/>
        <v>0</v>
      </c>
      <c r="M54" s="136">
        <v>0</v>
      </c>
    </row>
    <row r="55" spans="2:13" ht="12.75">
      <c r="B55" s="137">
        <f t="shared" si="0"/>
      </c>
      <c r="C55" s="130">
        <v>41</v>
      </c>
      <c r="D55" s="131">
        <f t="shared" si="4"/>
        <v>39203</v>
      </c>
      <c r="E55" s="132">
        <f t="shared" si="5"/>
        <v>248570.30525965925</v>
      </c>
      <c r="F55" s="195">
        <f t="shared" si="11"/>
        <v>1242.8515262982962</v>
      </c>
      <c r="G55" s="134">
        <f t="shared" si="6"/>
        <v>315.97983909887694</v>
      </c>
      <c r="H55" s="134">
        <f t="shared" si="7"/>
        <v>248254.32542056037</v>
      </c>
      <c r="I55" s="134">
        <f t="shared" si="8"/>
        <v>52166.41140184435</v>
      </c>
      <c r="J55" s="138">
        <f t="shared" si="9"/>
        <v>11745.674579439767</v>
      </c>
      <c r="K55" s="196">
        <f t="shared" si="2"/>
        <v>0</v>
      </c>
      <c r="L55" s="136">
        <f t="shared" si="12"/>
        <v>0</v>
      </c>
      <c r="M55" s="136">
        <v>0</v>
      </c>
    </row>
    <row r="56" spans="2:13" ht="12.75">
      <c r="B56" s="137">
        <f t="shared" si="0"/>
      </c>
      <c r="C56" s="130">
        <v>42</v>
      </c>
      <c r="D56" s="131">
        <f t="shared" si="4"/>
        <v>39234</v>
      </c>
      <c r="E56" s="132">
        <f t="shared" si="5"/>
        <v>248254.32542056037</v>
      </c>
      <c r="F56" s="195">
        <f t="shared" si="11"/>
        <v>1241.2716271028019</v>
      </c>
      <c r="G56" s="134">
        <f t="shared" si="6"/>
        <v>317.5597382943713</v>
      </c>
      <c r="H56" s="134">
        <f t="shared" si="7"/>
        <v>247936.765682266</v>
      </c>
      <c r="I56" s="134">
        <f t="shared" si="8"/>
        <v>53407.683028947155</v>
      </c>
      <c r="J56" s="138">
        <f t="shared" si="9"/>
        <v>12063.234317734137</v>
      </c>
      <c r="K56" s="196">
        <f t="shared" si="2"/>
        <v>0</v>
      </c>
      <c r="L56" s="136">
        <f t="shared" si="12"/>
        <v>0</v>
      </c>
      <c r="M56" s="136">
        <v>0</v>
      </c>
    </row>
    <row r="57" spans="2:13" ht="12.75">
      <c r="B57" s="137">
        <f t="shared" si="0"/>
      </c>
      <c r="C57" s="130">
        <v>43</v>
      </c>
      <c r="D57" s="131">
        <f t="shared" si="4"/>
        <v>39264</v>
      </c>
      <c r="E57" s="132">
        <f t="shared" si="5"/>
        <v>247936.765682266</v>
      </c>
      <c r="F57" s="195">
        <f t="shared" si="11"/>
        <v>1239.68382841133</v>
      </c>
      <c r="G57" s="134">
        <f t="shared" si="6"/>
        <v>319.1475369858431</v>
      </c>
      <c r="H57" s="134">
        <f t="shared" si="7"/>
        <v>247617.61814528017</v>
      </c>
      <c r="I57" s="134">
        <f t="shared" si="8"/>
        <v>54647.36685735849</v>
      </c>
      <c r="J57" s="138">
        <f t="shared" si="9"/>
        <v>12382.38185471998</v>
      </c>
      <c r="K57" s="196">
        <f t="shared" si="2"/>
        <v>0</v>
      </c>
      <c r="L57" s="136">
        <f t="shared" si="12"/>
        <v>0</v>
      </c>
      <c r="M57" s="136">
        <v>0</v>
      </c>
    </row>
    <row r="58" spans="2:13" ht="12.75">
      <c r="B58" s="137">
        <f t="shared" si="0"/>
      </c>
      <c r="C58" s="130">
        <v>44</v>
      </c>
      <c r="D58" s="131">
        <f t="shared" si="4"/>
        <v>39295</v>
      </c>
      <c r="E58" s="132">
        <f t="shared" si="5"/>
        <v>247617.61814528017</v>
      </c>
      <c r="F58" s="195">
        <f t="shared" si="11"/>
        <v>1238.0880907264009</v>
      </c>
      <c r="G58" s="134">
        <f t="shared" si="6"/>
        <v>320.7432746707723</v>
      </c>
      <c r="H58" s="134">
        <f t="shared" si="7"/>
        <v>247296.8748706094</v>
      </c>
      <c r="I58" s="134">
        <f t="shared" si="8"/>
        <v>55885.45494808489</v>
      </c>
      <c r="J58" s="138">
        <f t="shared" si="9"/>
        <v>12703.125129390754</v>
      </c>
      <c r="K58" s="196">
        <f t="shared" si="2"/>
        <v>0</v>
      </c>
      <c r="L58" s="136">
        <f t="shared" si="12"/>
        <v>0</v>
      </c>
      <c r="M58" s="136">
        <v>0</v>
      </c>
    </row>
    <row r="59" spans="2:13" ht="12.75">
      <c r="B59" s="137">
        <f t="shared" si="0"/>
      </c>
      <c r="C59" s="130">
        <v>45</v>
      </c>
      <c r="D59" s="131">
        <f t="shared" si="4"/>
        <v>39326</v>
      </c>
      <c r="E59" s="132">
        <f t="shared" si="5"/>
        <v>247296.8748706094</v>
      </c>
      <c r="F59" s="195">
        <f t="shared" si="11"/>
        <v>1236.484374353047</v>
      </c>
      <c r="G59" s="134">
        <f t="shared" si="6"/>
        <v>322.34699104412607</v>
      </c>
      <c r="H59" s="134">
        <f t="shared" si="7"/>
        <v>246974.52787956528</v>
      </c>
      <c r="I59" s="134">
        <f t="shared" si="8"/>
        <v>57121.93932243793</v>
      </c>
      <c r="J59" s="138">
        <f t="shared" si="9"/>
        <v>13025.472120434879</v>
      </c>
      <c r="K59" s="196">
        <f t="shared" si="2"/>
        <v>0</v>
      </c>
      <c r="L59" s="136">
        <f t="shared" si="12"/>
        <v>0</v>
      </c>
      <c r="M59" s="136">
        <v>0</v>
      </c>
    </row>
    <row r="60" spans="2:13" ht="12.75">
      <c r="B60" s="137">
        <f t="shared" si="0"/>
      </c>
      <c r="C60" s="130">
        <v>46</v>
      </c>
      <c r="D60" s="131">
        <f t="shared" si="4"/>
        <v>39356</v>
      </c>
      <c r="E60" s="132">
        <f t="shared" si="5"/>
        <v>246974.52787956528</v>
      </c>
      <c r="F60" s="195">
        <f t="shared" si="11"/>
        <v>1234.8726393978266</v>
      </c>
      <c r="G60" s="134">
        <f t="shared" si="6"/>
        <v>323.9587259993466</v>
      </c>
      <c r="H60" s="134">
        <f t="shared" si="7"/>
        <v>246650.56915356594</v>
      </c>
      <c r="I60" s="134">
        <f t="shared" si="8"/>
        <v>58356.81196183576</v>
      </c>
      <c r="J60" s="138">
        <f t="shared" si="9"/>
        <v>13349.430846434225</v>
      </c>
      <c r="K60" s="196">
        <f t="shared" si="2"/>
        <v>0</v>
      </c>
      <c r="L60" s="136">
        <f t="shared" si="12"/>
        <v>0</v>
      </c>
      <c r="M60" s="136">
        <v>0</v>
      </c>
    </row>
    <row r="61" spans="2:13" ht="12.75">
      <c r="B61" s="137">
        <f t="shared" si="0"/>
      </c>
      <c r="C61" s="130">
        <v>47</v>
      </c>
      <c r="D61" s="131">
        <f t="shared" si="4"/>
        <v>39387</v>
      </c>
      <c r="E61" s="132">
        <f t="shared" si="5"/>
        <v>246650.56915356594</v>
      </c>
      <c r="F61" s="195">
        <f t="shared" si="11"/>
        <v>1233.2528457678297</v>
      </c>
      <c r="G61" s="134">
        <f t="shared" si="6"/>
        <v>325.5785196293434</v>
      </c>
      <c r="H61" s="134">
        <f t="shared" si="7"/>
        <v>246324.9906339366</v>
      </c>
      <c r="I61" s="134">
        <f t="shared" si="8"/>
        <v>59590.06480760359</v>
      </c>
      <c r="J61" s="138">
        <f t="shared" si="9"/>
        <v>13675.009366063568</v>
      </c>
      <c r="K61" s="196">
        <f t="shared" si="2"/>
        <v>0</v>
      </c>
      <c r="L61" s="136">
        <f t="shared" si="12"/>
        <v>0</v>
      </c>
      <c r="M61" s="136">
        <v>0</v>
      </c>
    </row>
    <row r="62" spans="2:13" ht="12.75">
      <c r="B62" s="137">
        <f t="shared" si="0"/>
      </c>
      <c r="C62" s="130">
        <v>48</v>
      </c>
      <c r="D62" s="131">
        <f t="shared" si="4"/>
        <v>39417</v>
      </c>
      <c r="E62" s="132">
        <f t="shared" si="5"/>
        <v>246324.9906339366</v>
      </c>
      <c r="F62" s="195">
        <f t="shared" si="11"/>
        <v>1231.624953169683</v>
      </c>
      <c r="G62" s="134">
        <f t="shared" si="6"/>
        <v>327.2064122274901</v>
      </c>
      <c r="H62" s="134">
        <f t="shared" si="7"/>
        <v>245997.7842217091</v>
      </c>
      <c r="I62" s="134">
        <f t="shared" si="8"/>
        <v>60821.68976077327</v>
      </c>
      <c r="J62" s="138">
        <f t="shared" si="9"/>
        <v>14002.215778291058</v>
      </c>
      <c r="K62" s="196">
        <f t="shared" si="2"/>
        <v>0</v>
      </c>
      <c r="L62" s="136">
        <f t="shared" si="12"/>
        <v>0</v>
      </c>
      <c r="M62" s="136">
        <v>0</v>
      </c>
    </row>
    <row r="63" spans="2:13" ht="12.75">
      <c r="B63" s="137" t="str">
        <f t="shared" si="0"/>
        <v>Year 5</v>
      </c>
      <c r="C63" s="130">
        <v>49</v>
      </c>
      <c r="D63" s="131">
        <f t="shared" si="4"/>
        <v>39448</v>
      </c>
      <c r="E63" s="132">
        <f t="shared" si="5"/>
        <v>245997.7842217091</v>
      </c>
      <c r="F63" s="195">
        <f t="shared" si="11"/>
        <v>1229.9889211085456</v>
      </c>
      <c r="G63" s="134">
        <f t="shared" si="6"/>
        <v>328.8424442886276</v>
      </c>
      <c r="H63" s="134">
        <f t="shared" si="7"/>
        <v>245668.94177742046</v>
      </c>
      <c r="I63" s="134">
        <f t="shared" si="8"/>
        <v>62051.678681881815</v>
      </c>
      <c r="J63" s="138">
        <f t="shared" si="9"/>
        <v>14331.058222579686</v>
      </c>
      <c r="K63" s="196">
        <f t="shared" si="2"/>
        <v>0</v>
      </c>
      <c r="L63" s="136">
        <f t="shared" si="12"/>
        <v>0</v>
      </c>
      <c r="M63" s="136">
        <v>0</v>
      </c>
    </row>
    <row r="64" spans="2:13" ht="12.75">
      <c r="B64" s="137">
        <f t="shared" si="0"/>
      </c>
      <c r="C64" s="130">
        <v>50</v>
      </c>
      <c r="D64" s="131">
        <f t="shared" si="4"/>
        <v>39479</v>
      </c>
      <c r="E64" s="132">
        <f t="shared" si="5"/>
        <v>245668.94177742046</v>
      </c>
      <c r="F64" s="195">
        <f t="shared" si="11"/>
        <v>1228.3447088871023</v>
      </c>
      <c r="G64" s="134">
        <f t="shared" si="6"/>
        <v>330.4866565100708</v>
      </c>
      <c r="H64" s="134">
        <f t="shared" si="7"/>
        <v>245338.4551209104</v>
      </c>
      <c r="I64" s="134">
        <f t="shared" si="8"/>
        <v>63280.02339076892</v>
      </c>
      <c r="J64" s="138">
        <f t="shared" si="9"/>
        <v>14661.544879089757</v>
      </c>
      <c r="K64" s="196">
        <f t="shared" si="2"/>
        <v>0</v>
      </c>
      <c r="L64" s="136">
        <f t="shared" si="12"/>
        <v>0</v>
      </c>
      <c r="M64" s="136">
        <v>0</v>
      </c>
    </row>
    <row r="65" spans="2:13" ht="12.75">
      <c r="B65" s="137">
        <f t="shared" si="0"/>
      </c>
      <c r="C65" s="130">
        <v>51</v>
      </c>
      <c r="D65" s="131">
        <f t="shared" si="4"/>
        <v>39508</v>
      </c>
      <c r="E65" s="132">
        <f t="shared" si="5"/>
        <v>245338.4551209104</v>
      </c>
      <c r="F65" s="195">
        <f t="shared" si="11"/>
        <v>1226.692275604552</v>
      </c>
      <c r="G65" s="134">
        <f t="shared" si="6"/>
        <v>332.13908979262123</v>
      </c>
      <c r="H65" s="134">
        <f t="shared" si="7"/>
        <v>245006.31603111778</v>
      </c>
      <c r="I65" s="134">
        <f t="shared" si="8"/>
        <v>64506.71566637347</v>
      </c>
      <c r="J65" s="138">
        <f t="shared" si="9"/>
        <v>14993.683968882378</v>
      </c>
      <c r="K65" s="196">
        <f t="shared" si="2"/>
        <v>0</v>
      </c>
      <c r="L65" s="136">
        <f t="shared" si="12"/>
        <v>0</v>
      </c>
      <c r="M65" s="136">
        <v>0</v>
      </c>
    </row>
    <row r="66" spans="2:13" ht="12.75">
      <c r="B66" s="137">
        <f t="shared" si="0"/>
      </c>
      <c r="C66" s="130">
        <v>52</v>
      </c>
      <c r="D66" s="131">
        <f t="shared" si="4"/>
        <v>39539</v>
      </c>
      <c r="E66" s="132">
        <f t="shared" si="5"/>
        <v>245006.31603111778</v>
      </c>
      <c r="F66" s="195">
        <f t="shared" si="11"/>
        <v>1225.031580155589</v>
      </c>
      <c r="G66" s="134">
        <f t="shared" si="6"/>
        <v>333.79978524158423</v>
      </c>
      <c r="H66" s="134">
        <f t="shared" si="7"/>
        <v>244672.5162458762</v>
      </c>
      <c r="I66" s="134">
        <f t="shared" si="8"/>
        <v>65731.74724652906</v>
      </c>
      <c r="J66" s="138">
        <f t="shared" si="9"/>
        <v>15327.483754123963</v>
      </c>
      <c r="K66" s="196">
        <f t="shared" si="2"/>
        <v>0</v>
      </c>
      <c r="L66" s="136">
        <f t="shared" si="12"/>
        <v>0</v>
      </c>
      <c r="M66" s="136">
        <v>0</v>
      </c>
    </row>
    <row r="67" spans="2:13" ht="12.75">
      <c r="B67" s="137">
        <f t="shared" si="0"/>
      </c>
      <c r="C67" s="130">
        <v>53</v>
      </c>
      <c r="D67" s="131">
        <f t="shared" si="4"/>
        <v>39569</v>
      </c>
      <c r="E67" s="132">
        <f t="shared" si="5"/>
        <v>244672.5162458762</v>
      </c>
      <c r="F67" s="195">
        <f t="shared" si="11"/>
        <v>1223.362581229381</v>
      </c>
      <c r="G67" s="134">
        <f t="shared" si="6"/>
        <v>335.46878416779214</v>
      </c>
      <c r="H67" s="134">
        <f t="shared" si="7"/>
        <v>244337.04746170843</v>
      </c>
      <c r="I67" s="134">
        <f t="shared" si="8"/>
        <v>66955.10982775844</v>
      </c>
      <c r="J67" s="138">
        <f t="shared" si="9"/>
        <v>15662.952538291755</v>
      </c>
      <c r="K67" s="196">
        <f t="shared" si="2"/>
        <v>0</v>
      </c>
      <c r="L67" s="136">
        <f t="shared" si="12"/>
        <v>0</v>
      </c>
      <c r="M67" s="136">
        <v>0</v>
      </c>
    </row>
    <row r="68" spans="2:13" ht="12.75">
      <c r="B68" s="137">
        <f t="shared" si="0"/>
      </c>
      <c r="C68" s="130">
        <v>54</v>
      </c>
      <c r="D68" s="131">
        <f t="shared" si="4"/>
        <v>39600</v>
      </c>
      <c r="E68" s="132">
        <f t="shared" si="5"/>
        <v>244337.04746170843</v>
      </c>
      <c r="F68" s="195">
        <f t="shared" si="11"/>
        <v>1221.6852373085421</v>
      </c>
      <c r="G68" s="134">
        <f t="shared" si="6"/>
        <v>337.14612808863103</v>
      </c>
      <c r="H68" s="134">
        <f t="shared" si="7"/>
        <v>243999.90133361978</v>
      </c>
      <c r="I68" s="134">
        <f t="shared" si="8"/>
        <v>68176.79506506698</v>
      </c>
      <c r="J68" s="138">
        <f t="shared" si="9"/>
        <v>16000.098666380385</v>
      </c>
      <c r="K68" s="196">
        <f t="shared" si="2"/>
        <v>0</v>
      </c>
      <c r="L68" s="136">
        <f t="shared" si="12"/>
        <v>0</v>
      </c>
      <c r="M68" s="136">
        <v>0</v>
      </c>
    </row>
    <row r="69" spans="2:13" ht="12.75">
      <c r="B69" s="137">
        <f t="shared" si="0"/>
      </c>
      <c r="C69" s="130">
        <v>55</v>
      </c>
      <c r="D69" s="131">
        <f t="shared" si="4"/>
        <v>39630</v>
      </c>
      <c r="E69" s="132">
        <f t="shared" si="5"/>
        <v>243999.90133361978</v>
      </c>
      <c r="F69" s="195">
        <f t="shared" si="11"/>
        <v>1219.999506668099</v>
      </c>
      <c r="G69" s="134">
        <f t="shared" si="6"/>
        <v>338.83185872907416</v>
      </c>
      <c r="H69" s="134">
        <f t="shared" si="7"/>
        <v>243661.0694748907</v>
      </c>
      <c r="I69" s="134">
        <f t="shared" si="8"/>
        <v>69396.79457173508</v>
      </c>
      <c r="J69" s="138">
        <f t="shared" si="9"/>
        <v>16338.93052510946</v>
      </c>
      <c r="K69" s="196">
        <f t="shared" si="2"/>
        <v>0</v>
      </c>
      <c r="L69" s="136">
        <f t="shared" si="12"/>
        <v>0</v>
      </c>
      <c r="M69" s="136">
        <v>0</v>
      </c>
    </row>
    <row r="70" spans="2:13" ht="12.75">
      <c r="B70" s="137">
        <f t="shared" si="0"/>
      </c>
      <c r="C70" s="130">
        <v>56</v>
      </c>
      <c r="D70" s="131">
        <f t="shared" si="4"/>
        <v>39661</v>
      </c>
      <c r="E70" s="132">
        <f t="shared" si="5"/>
        <v>243661.0694748907</v>
      </c>
      <c r="F70" s="195">
        <f t="shared" si="11"/>
        <v>1218.3053473744535</v>
      </c>
      <c r="G70" s="134">
        <f t="shared" si="6"/>
        <v>340.52601802271965</v>
      </c>
      <c r="H70" s="134">
        <f t="shared" si="7"/>
        <v>243320.54345686798</v>
      </c>
      <c r="I70" s="134">
        <f t="shared" si="8"/>
        <v>70615.09991910953</v>
      </c>
      <c r="J70" s="138">
        <f t="shared" si="9"/>
        <v>16679.45654313218</v>
      </c>
      <c r="K70" s="196">
        <f t="shared" si="2"/>
        <v>0</v>
      </c>
      <c r="L70" s="136">
        <f t="shared" si="12"/>
        <v>0</v>
      </c>
      <c r="M70" s="136">
        <v>0</v>
      </c>
    </row>
    <row r="71" spans="2:13" ht="12.75">
      <c r="B71" s="137">
        <f t="shared" si="0"/>
      </c>
      <c r="C71" s="130">
        <v>57</v>
      </c>
      <c r="D71" s="131">
        <f t="shared" si="4"/>
        <v>39692</v>
      </c>
      <c r="E71" s="132">
        <f t="shared" si="5"/>
        <v>243320.54345686798</v>
      </c>
      <c r="F71" s="195">
        <f t="shared" si="11"/>
        <v>1216.6027172843399</v>
      </c>
      <c r="G71" s="134">
        <f t="shared" si="6"/>
        <v>342.2286481128333</v>
      </c>
      <c r="H71" s="134">
        <f t="shared" si="7"/>
        <v>242978.31480875515</v>
      </c>
      <c r="I71" s="134">
        <f t="shared" si="8"/>
        <v>71831.70263639388</v>
      </c>
      <c r="J71" s="138">
        <f t="shared" si="9"/>
        <v>17021.68519124501</v>
      </c>
      <c r="K71" s="196">
        <f t="shared" si="2"/>
        <v>0</v>
      </c>
      <c r="L71" s="136">
        <f t="shared" si="12"/>
        <v>0</v>
      </c>
      <c r="M71" s="136">
        <v>0</v>
      </c>
    </row>
    <row r="72" spans="2:13" ht="12.75">
      <c r="B72" s="137">
        <f t="shared" si="0"/>
      </c>
      <c r="C72" s="130">
        <v>58</v>
      </c>
      <c r="D72" s="131">
        <f t="shared" si="4"/>
        <v>39722</v>
      </c>
      <c r="E72" s="132">
        <f t="shared" si="5"/>
        <v>242978.31480875515</v>
      </c>
      <c r="F72" s="195">
        <f t="shared" si="11"/>
        <v>1214.8915740437758</v>
      </c>
      <c r="G72" s="134">
        <f t="shared" si="6"/>
        <v>343.93979135339737</v>
      </c>
      <c r="H72" s="134">
        <f t="shared" si="7"/>
        <v>242634.37501740176</v>
      </c>
      <c r="I72" s="134">
        <f t="shared" si="8"/>
        <v>73046.59421043766</v>
      </c>
      <c r="J72" s="138">
        <f t="shared" si="9"/>
        <v>17365.62498259841</v>
      </c>
      <c r="K72" s="196">
        <f t="shared" si="2"/>
        <v>0</v>
      </c>
      <c r="L72" s="136">
        <f t="shared" si="12"/>
        <v>0</v>
      </c>
      <c r="M72" s="136">
        <v>0</v>
      </c>
    </row>
    <row r="73" spans="2:13" ht="12.75">
      <c r="B73" s="137">
        <f t="shared" si="0"/>
      </c>
      <c r="C73" s="130">
        <v>59</v>
      </c>
      <c r="D73" s="131">
        <f t="shared" si="4"/>
        <v>39753</v>
      </c>
      <c r="E73" s="132">
        <f t="shared" si="5"/>
        <v>242634.37501740176</v>
      </c>
      <c r="F73" s="195">
        <f t="shared" si="11"/>
        <v>1213.1718750870089</v>
      </c>
      <c r="G73" s="134">
        <f t="shared" si="6"/>
        <v>345.6594903101643</v>
      </c>
      <c r="H73" s="134">
        <f t="shared" si="7"/>
        <v>242288.7155270916</v>
      </c>
      <c r="I73" s="134">
        <f t="shared" si="8"/>
        <v>74259.76608552466</v>
      </c>
      <c r="J73" s="138">
        <f t="shared" si="9"/>
        <v>17711.284472908574</v>
      </c>
      <c r="K73" s="196">
        <f t="shared" si="2"/>
        <v>0</v>
      </c>
      <c r="L73" s="136">
        <f t="shared" si="12"/>
        <v>0</v>
      </c>
      <c r="M73" s="136">
        <v>0</v>
      </c>
    </row>
    <row r="74" spans="2:13" ht="12.75">
      <c r="B74" s="137">
        <f t="shared" si="0"/>
      </c>
      <c r="C74" s="130">
        <f aca="true" t="shared" si="13" ref="C74:C137">C73+1</f>
        <v>60</v>
      </c>
      <c r="D74" s="131">
        <f t="shared" si="4"/>
        <v>39783</v>
      </c>
      <c r="E74" s="132">
        <f t="shared" si="5"/>
        <v>242288.7155270916</v>
      </c>
      <c r="F74" s="195">
        <f t="shared" si="11"/>
        <v>1211.443577635458</v>
      </c>
      <c r="G74" s="134">
        <f t="shared" si="6"/>
        <v>347.3877877617151</v>
      </c>
      <c r="H74" s="134">
        <f t="shared" si="7"/>
        <v>241941.3277393299</v>
      </c>
      <c r="I74" s="134">
        <f t="shared" si="8"/>
        <v>75471.20966316012</v>
      </c>
      <c r="J74" s="138">
        <f t="shared" si="9"/>
        <v>18058.67226067029</v>
      </c>
      <c r="K74" s="196">
        <f t="shared" si="2"/>
        <v>0</v>
      </c>
      <c r="L74" s="136">
        <v>0</v>
      </c>
      <c r="M74" s="136">
        <v>0</v>
      </c>
    </row>
    <row r="75" spans="2:13" ht="12.75">
      <c r="B75" s="137" t="str">
        <f t="shared" si="0"/>
        <v>Year 6</v>
      </c>
      <c r="C75" s="130">
        <f t="shared" si="13"/>
        <v>61</v>
      </c>
      <c r="D75" s="131">
        <f t="shared" si="4"/>
        <v>39814</v>
      </c>
      <c r="E75" s="132">
        <f t="shared" si="5"/>
        <v>241941.3277393299</v>
      </c>
      <c r="F75" s="195">
        <f t="shared" si="11"/>
        <v>1209.7066386966494</v>
      </c>
      <c r="G75" s="134">
        <f t="shared" si="6"/>
        <v>349.12472670052375</v>
      </c>
      <c r="H75" s="134">
        <f t="shared" si="7"/>
        <v>241592.20301262935</v>
      </c>
      <c r="I75" s="134">
        <f t="shared" si="8"/>
        <v>76680.91630185676</v>
      </c>
      <c r="J75" s="138">
        <f t="shared" si="9"/>
        <v>18407.796987370813</v>
      </c>
      <c r="K75" s="196">
        <f t="shared" si="2"/>
        <v>0</v>
      </c>
      <c r="L75" s="136">
        <f aca="true" t="shared" si="14" ref="L75:L138">L74</f>
        <v>0</v>
      </c>
      <c r="M75" s="136">
        <v>0</v>
      </c>
    </row>
    <row r="76" spans="2:13" ht="12.75">
      <c r="B76" s="137">
        <f t="shared" si="0"/>
      </c>
      <c r="C76" s="130">
        <f t="shared" si="13"/>
        <v>62</v>
      </c>
      <c r="D76" s="131">
        <f t="shared" si="4"/>
        <v>39845</v>
      </c>
      <c r="E76" s="132">
        <f t="shared" si="5"/>
        <v>241592.20301262935</v>
      </c>
      <c r="F76" s="195">
        <f t="shared" si="11"/>
        <v>1207.9610150631468</v>
      </c>
      <c r="G76" s="134">
        <f t="shared" si="6"/>
        <v>350.8703503340264</v>
      </c>
      <c r="H76" s="134">
        <f t="shared" si="7"/>
        <v>241241.33266229532</v>
      </c>
      <c r="I76" s="134">
        <f t="shared" si="8"/>
        <v>77888.87731691991</v>
      </c>
      <c r="J76" s="138">
        <f t="shared" si="9"/>
        <v>18758.66733770484</v>
      </c>
      <c r="K76" s="196">
        <f t="shared" si="2"/>
        <v>0</v>
      </c>
      <c r="L76" s="136">
        <f t="shared" si="14"/>
        <v>0</v>
      </c>
      <c r="M76" s="136">
        <v>0</v>
      </c>
    </row>
    <row r="77" spans="2:13" ht="12.75">
      <c r="B77" s="137">
        <f t="shared" si="0"/>
      </c>
      <c r="C77" s="130">
        <f t="shared" si="13"/>
        <v>63</v>
      </c>
      <c r="D77" s="131">
        <f t="shared" si="4"/>
        <v>39873</v>
      </c>
      <c r="E77" s="132">
        <f t="shared" si="5"/>
        <v>241241.33266229532</v>
      </c>
      <c r="F77" s="195">
        <f t="shared" si="11"/>
        <v>1206.2066633114766</v>
      </c>
      <c r="G77" s="134">
        <f t="shared" si="6"/>
        <v>352.6247020856965</v>
      </c>
      <c r="H77" s="134">
        <f t="shared" si="7"/>
        <v>240888.70796020963</v>
      </c>
      <c r="I77" s="134">
        <f t="shared" si="8"/>
        <v>79095.08398023139</v>
      </c>
      <c r="J77" s="138">
        <f t="shared" si="9"/>
        <v>19111.292039790536</v>
      </c>
      <c r="K77" s="196">
        <f t="shared" si="2"/>
        <v>0</v>
      </c>
      <c r="L77" s="136">
        <f t="shared" si="14"/>
        <v>0</v>
      </c>
      <c r="M77" s="136">
        <v>0</v>
      </c>
    </row>
    <row r="78" spans="2:13" ht="12.75">
      <c r="B78" s="137">
        <f t="shared" si="0"/>
      </c>
      <c r="C78" s="130">
        <f t="shared" si="13"/>
        <v>64</v>
      </c>
      <c r="D78" s="131">
        <f t="shared" si="4"/>
        <v>39904</v>
      </c>
      <c r="E78" s="132">
        <f t="shared" si="5"/>
        <v>240888.70796020963</v>
      </c>
      <c r="F78" s="195">
        <f t="shared" si="11"/>
        <v>1204.4435398010482</v>
      </c>
      <c r="G78" s="134">
        <f t="shared" si="6"/>
        <v>354.3878255961249</v>
      </c>
      <c r="H78" s="134">
        <f t="shared" si="7"/>
        <v>240534.32013461352</v>
      </c>
      <c r="I78" s="134">
        <f t="shared" si="8"/>
        <v>80299.52752003244</v>
      </c>
      <c r="J78" s="138">
        <f t="shared" si="9"/>
        <v>19465.67986538666</v>
      </c>
      <c r="K78" s="196">
        <f t="shared" si="2"/>
        <v>0</v>
      </c>
      <c r="L78" s="136">
        <f t="shared" si="14"/>
        <v>0</v>
      </c>
      <c r="M78" s="136">
        <v>0</v>
      </c>
    </row>
    <row r="79" spans="2:13" ht="12.75">
      <c r="B79" s="137">
        <f aca="true" t="shared" si="15" ref="B79:B142">IF((C79-1)/12=TRUNC((C79-1)/12),"Year "&amp;(C79-1)/12+1,"")</f>
      </c>
      <c r="C79" s="130">
        <f t="shared" si="13"/>
        <v>65</v>
      </c>
      <c r="D79" s="131">
        <f t="shared" si="4"/>
        <v>39934</v>
      </c>
      <c r="E79" s="132">
        <f t="shared" si="5"/>
        <v>240534.32013461352</v>
      </c>
      <c r="F79" s="195">
        <f t="shared" si="11"/>
        <v>1202.6716006730676</v>
      </c>
      <c r="G79" s="134">
        <f t="shared" si="6"/>
        <v>356.15976472410557</v>
      </c>
      <c r="H79" s="134">
        <f t="shared" si="7"/>
        <v>240178.1603698894</v>
      </c>
      <c r="I79" s="134">
        <f t="shared" si="8"/>
        <v>81502.19912070551</v>
      </c>
      <c r="J79" s="138">
        <f t="shared" si="9"/>
        <v>19821.839630110768</v>
      </c>
      <c r="K79" s="196">
        <f aca="true" t="shared" si="16" ref="K79:K142">L79+M79</f>
        <v>0</v>
      </c>
      <c r="L79" s="136">
        <f t="shared" si="14"/>
        <v>0</v>
      </c>
      <c r="M79" s="136">
        <v>0</v>
      </c>
    </row>
    <row r="80" spans="2:13" ht="12.75">
      <c r="B80" s="137">
        <f t="shared" si="15"/>
      </c>
      <c r="C80" s="130">
        <f t="shared" si="13"/>
        <v>66</v>
      </c>
      <c r="D80" s="131">
        <f aca="true" t="shared" si="17" ref="D80:D143">DATE(YEAR(D79),MONTH(D79)+1,DAY(D79))</f>
        <v>39965</v>
      </c>
      <c r="E80" s="132">
        <f aca="true" t="shared" si="18" ref="E80:E143">IF(no_of_payments&gt;=C80,H79,0)</f>
        <v>240178.1603698894</v>
      </c>
      <c r="F80" s="195">
        <f t="shared" si="11"/>
        <v>1200.8908018494471</v>
      </c>
      <c r="G80" s="134">
        <f aca="true" t="shared" si="19" ref="G80:G143">IF(H79-G79&lt;=0,H79,$E$10-F80)</f>
        <v>357.940563547726</v>
      </c>
      <c r="H80" s="134">
        <f aca="true" t="shared" si="20" ref="H80:H143">IF(E80-G80-K79&gt;=0,E80-G80-K79,0)</f>
        <v>239820.2198063417</v>
      </c>
      <c r="I80" s="134">
        <f aca="true" t="shared" si="21" ref="I80:I143">I79+F80</f>
        <v>82703.08992255495</v>
      </c>
      <c r="J80" s="138">
        <f aca="true" t="shared" si="22" ref="J80:J143">J79+G80</f>
        <v>20179.780193658495</v>
      </c>
      <c r="K80" s="196">
        <f t="shared" si="16"/>
        <v>0</v>
      </c>
      <c r="L80" s="136">
        <f t="shared" si="14"/>
        <v>0</v>
      </c>
      <c r="M80" s="136">
        <v>0</v>
      </c>
    </row>
    <row r="81" spans="2:13" ht="12.75">
      <c r="B81" s="137">
        <f t="shared" si="15"/>
      </c>
      <c r="C81" s="130">
        <f t="shared" si="13"/>
        <v>67</v>
      </c>
      <c r="D81" s="131">
        <f t="shared" si="17"/>
        <v>39995</v>
      </c>
      <c r="E81" s="132">
        <f t="shared" si="18"/>
        <v>239820.2198063417</v>
      </c>
      <c r="F81" s="195">
        <f t="shared" si="11"/>
        <v>1199.1010990317084</v>
      </c>
      <c r="G81" s="134">
        <f t="shared" si="19"/>
        <v>359.7302663654648</v>
      </c>
      <c r="H81" s="134">
        <f t="shared" si="20"/>
        <v>239460.48953997623</v>
      </c>
      <c r="I81" s="134">
        <f t="shared" si="21"/>
        <v>83902.19102158667</v>
      </c>
      <c r="J81" s="138">
        <f t="shared" si="22"/>
        <v>20539.51046002396</v>
      </c>
      <c r="K81" s="196">
        <f t="shared" si="16"/>
        <v>0</v>
      </c>
      <c r="L81" s="136">
        <f t="shared" si="14"/>
        <v>0</v>
      </c>
      <c r="M81" s="136">
        <v>0</v>
      </c>
    </row>
    <row r="82" spans="2:13" ht="12.75">
      <c r="B82" s="137">
        <f t="shared" si="15"/>
      </c>
      <c r="C82" s="130">
        <f t="shared" si="13"/>
        <v>68</v>
      </c>
      <c r="D82" s="131">
        <f t="shared" si="17"/>
        <v>40026</v>
      </c>
      <c r="E82" s="132">
        <f t="shared" si="18"/>
        <v>239460.48953997623</v>
      </c>
      <c r="F82" s="195">
        <f t="shared" si="11"/>
        <v>1197.3024476998812</v>
      </c>
      <c r="G82" s="134">
        <f t="shared" si="19"/>
        <v>361.52891769729194</v>
      </c>
      <c r="H82" s="134">
        <f t="shared" si="20"/>
        <v>239098.96062227894</v>
      </c>
      <c r="I82" s="134">
        <f t="shared" si="21"/>
        <v>85099.49346928655</v>
      </c>
      <c r="J82" s="138">
        <f t="shared" si="22"/>
        <v>20901.039377721252</v>
      </c>
      <c r="K82" s="196">
        <f t="shared" si="16"/>
        <v>0</v>
      </c>
      <c r="L82" s="136">
        <f t="shared" si="14"/>
        <v>0</v>
      </c>
      <c r="M82" s="136">
        <v>0</v>
      </c>
    </row>
    <row r="83" spans="2:13" ht="12.75">
      <c r="B83" s="137">
        <f t="shared" si="15"/>
      </c>
      <c r="C83" s="130">
        <f t="shared" si="13"/>
        <v>69</v>
      </c>
      <c r="D83" s="131">
        <f t="shared" si="17"/>
        <v>40057</v>
      </c>
      <c r="E83" s="132">
        <f t="shared" si="18"/>
        <v>239098.96062227894</v>
      </c>
      <c r="F83" s="195">
        <f t="shared" si="11"/>
        <v>1195.4948031113947</v>
      </c>
      <c r="G83" s="134">
        <f t="shared" si="19"/>
        <v>363.3365622857784</v>
      </c>
      <c r="H83" s="134">
        <f t="shared" si="20"/>
        <v>238735.62405999316</v>
      </c>
      <c r="I83" s="134">
        <f t="shared" si="21"/>
        <v>86294.98827239794</v>
      </c>
      <c r="J83" s="138">
        <f t="shared" si="22"/>
        <v>21264.37594000703</v>
      </c>
      <c r="K83" s="196">
        <f t="shared" si="16"/>
        <v>0</v>
      </c>
      <c r="L83" s="136">
        <f t="shared" si="14"/>
        <v>0</v>
      </c>
      <c r="M83" s="136">
        <v>0</v>
      </c>
    </row>
    <row r="84" spans="2:13" ht="12.75">
      <c r="B84" s="137">
        <f t="shared" si="15"/>
      </c>
      <c r="C84" s="130">
        <f t="shared" si="13"/>
        <v>70</v>
      </c>
      <c r="D84" s="131">
        <f t="shared" si="17"/>
        <v>40087</v>
      </c>
      <c r="E84" s="132">
        <f t="shared" si="18"/>
        <v>238735.62405999316</v>
      </c>
      <c r="F84" s="195">
        <f t="shared" si="11"/>
        <v>1193.678120299966</v>
      </c>
      <c r="G84" s="134">
        <f t="shared" si="19"/>
        <v>365.1532450972072</v>
      </c>
      <c r="H84" s="134">
        <f t="shared" si="20"/>
        <v>238370.47081489596</v>
      </c>
      <c r="I84" s="134">
        <f t="shared" si="21"/>
        <v>87488.66639269791</v>
      </c>
      <c r="J84" s="138">
        <f t="shared" si="22"/>
        <v>21629.52918510424</v>
      </c>
      <c r="K84" s="196">
        <f t="shared" si="16"/>
        <v>0</v>
      </c>
      <c r="L84" s="136">
        <f t="shared" si="14"/>
        <v>0</v>
      </c>
      <c r="M84" s="136">
        <v>0</v>
      </c>
    </row>
    <row r="85" spans="2:13" ht="12.75">
      <c r="B85" s="137">
        <f t="shared" si="15"/>
      </c>
      <c r="C85" s="130">
        <f t="shared" si="13"/>
        <v>71</v>
      </c>
      <c r="D85" s="131">
        <f t="shared" si="17"/>
        <v>40118</v>
      </c>
      <c r="E85" s="132">
        <f t="shared" si="18"/>
        <v>238370.47081489596</v>
      </c>
      <c r="F85" s="195">
        <f t="shared" si="11"/>
        <v>1191.8523540744798</v>
      </c>
      <c r="G85" s="134">
        <f t="shared" si="19"/>
        <v>366.9790113226934</v>
      </c>
      <c r="H85" s="134">
        <f t="shared" si="20"/>
        <v>238003.49180357327</v>
      </c>
      <c r="I85" s="134">
        <f t="shared" si="21"/>
        <v>88680.51874677239</v>
      </c>
      <c r="J85" s="138">
        <f t="shared" si="22"/>
        <v>21996.50819642693</v>
      </c>
      <c r="K85" s="196">
        <f t="shared" si="16"/>
        <v>0</v>
      </c>
      <c r="L85" s="136">
        <f t="shared" si="14"/>
        <v>0</v>
      </c>
      <c r="M85" s="136">
        <v>0</v>
      </c>
    </row>
    <row r="86" spans="2:13" ht="12.75">
      <c r="B86" s="137">
        <f t="shared" si="15"/>
      </c>
      <c r="C86" s="130">
        <f t="shared" si="13"/>
        <v>72</v>
      </c>
      <c r="D86" s="131">
        <f t="shared" si="17"/>
        <v>40148</v>
      </c>
      <c r="E86" s="132">
        <f t="shared" si="18"/>
        <v>238003.49180357327</v>
      </c>
      <c r="F86" s="195">
        <f t="shared" si="11"/>
        <v>1190.0174590178665</v>
      </c>
      <c r="G86" s="134">
        <f t="shared" si="19"/>
        <v>368.8139063793067</v>
      </c>
      <c r="H86" s="134">
        <f t="shared" si="20"/>
        <v>237634.67789719396</v>
      </c>
      <c r="I86" s="134">
        <f t="shared" si="21"/>
        <v>89870.53620579025</v>
      </c>
      <c r="J86" s="138">
        <f t="shared" si="22"/>
        <v>22365.322102806236</v>
      </c>
      <c r="K86" s="196">
        <f t="shared" si="16"/>
        <v>0</v>
      </c>
      <c r="L86" s="136">
        <f t="shared" si="14"/>
        <v>0</v>
      </c>
      <c r="M86" s="136">
        <v>0</v>
      </c>
    </row>
    <row r="87" spans="2:13" ht="12.75">
      <c r="B87" s="137" t="str">
        <f t="shared" si="15"/>
        <v>Year 7</v>
      </c>
      <c r="C87" s="130">
        <f t="shared" si="13"/>
        <v>73</v>
      </c>
      <c r="D87" s="131">
        <f t="shared" si="17"/>
        <v>40179</v>
      </c>
      <c r="E87" s="132">
        <f t="shared" si="18"/>
        <v>237634.67789719396</v>
      </c>
      <c r="F87" s="195">
        <f t="shared" si="11"/>
        <v>1188.17338948597</v>
      </c>
      <c r="G87" s="134">
        <f t="shared" si="19"/>
        <v>370.65797591120327</v>
      </c>
      <c r="H87" s="134">
        <f t="shared" si="20"/>
        <v>237264.01992128277</v>
      </c>
      <c r="I87" s="134">
        <f t="shared" si="21"/>
        <v>91058.70959527622</v>
      </c>
      <c r="J87" s="138">
        <f t="shared" si="22"/>
        <v>22735.98007871744</v>
      </c>
      <c r="K87" s="196">
        <f t="shared" si="16"/>
        <v>0</v>
      </c>
      <c r="L87" s="136">
        <f t="shared" si="14"/>
        <v>0</v>
      </c>
      <c r="M87" s="136">
        <v>0</v>
      </c>
    </row>
    <row r="88" spans="2:13" ht="12.75">
      <c r="B88" s="137">
        <f t="shared" si="15"/>
      </c>
      <c r="C88" s="130">
        <f t="shared" si="13"/>
        <v>74</v>
      </c>
      <c r="D88" s="131">
        <f t="shared" si="17"/>
        <v>40210</v>
      </c>
      <c r="E88" s="132">
        <f t="shared" si="18"/>
        <v>237264.01992128277</v>
      </c>
      <c r="F88" s="195">
        <f t="shared" si="11"/>
        <v>1186.3200996064138</v>
      </c>
      <c r="G88" s="134">
        <f t="shared" si="19"/>
        <v>372.51126579075935</v>
      </c>
      <c r="H88" s="134">
        <f t="shared" si="20"/>
        <v>236891.508655492</v>
      </c>
      <c r="I88" s="134">
        <f t="shared" si="21"/>
        <v>92245.02969488263</v>
      </c>
      <c r="J88" s="138">
        <f t="shared" si="22"/>
        <v>23108.4913445082</v>
      </c>
      <c r="K88" s="196">
        <f t="shared" si="16"/>
        <v>0</v>
      </c>
      <c r="L88" s="136">
        <f t="shared" si="14"/>
        <v>0</v>
      </c>
      <c r="M88" s="136">
        <v>0</v>
      </c>
    </row>
    <row r="89" spans="2:13" ht="12.75">
      <c r="B89" s="137">
        <f t="shared" si="15"/>
      </c>
      <c r="C89" s="130">
        <f t="shared" si="13"/>
        <v>75</v>
      </c>
      <c r="D89" s="131">
        <f t="shared" si="17"/>
        <v>40238</v>
      </c>
      <c r="E89" s="132">
        <f t="shared" si="18"/>
        <v>236891.508655492</v>
      </c>
      <c r="F89" s="195">
        <f t="shared" si="11"/>
        <v>1184.45754327746</v>
      </c>
      <c r="G89" s="134">
        <f t="shared" si="19"/>
        <v>374.37382211971317</v>
      </c>
      <c r="H89" s="134">
        <f t="shared" si="20"/>
        <v>236517.13483337229</v>
      </c>
      <c r="I89" s="134">
        <f t="shared" si="21"/>
        <v>93429.48723816009</v>
      </c>
      <c r="J89" s="138">
        <f t="shared" si="22"/>
        <v>23482.86516662791</v>
      </c>
      <c r="K89" s="196">
        <f t="shared" si="16"/>
        <v>0</v>
      </c>
      <c r="L89" s="136">
        <f t="shared" si="14"/>
        <v>0</v>
      </c>
      <c r="M89" s="136">
        <v>0</v>
      </c>
    </row>
    <row r="90" spans="2:13" ht="12.75">
      <c r="B90" s="137">
        <f t="shared" si="15"/>
      </c>
      <c r="C90" s="130">
        <f t="shared" si="13"/>
        <v>76</v>
      </c>
      <c r="D90" s="131">
        <f t="shared" si="17"/>
        <v>40269</v>
      </c>
      <c r="E90" s="132">
        <f t="shared" si="18"/>
        <v>236517.13483337229</v>
      </c>
      <c r="F90" s="195">
        <f t="shared" si="11"/>
        <v>1182.5856741668615</v>
      </c>
      <c r="G90" s="134">
        <f t="shared" si="19"/>
        <v>376.24569123031165</v>
      </c>
      <c r="H90" s="134">
        <f t="shared" si="20"/>
        <v>236140.88914214197</v>
      </c>
      <c r="I90" s="134">
        <f t="shared" si="21"/>
        <v>94612.07291232696</v>
      </c>
      <c r="J90" s="138">
        <f t="shared" si="22"/>
        <v>23859.110857858224</v>
      </c>
      <c r="K90" s="196">
        <f t="shared" si="16"/>
        <v>0</v>
      </c>
      <c r="L90" s="136">
        <f t="shared" si="14"/>
        <v>0</v>
      </c>
      <c r="M90" s="136">
        <v>0</v>
      </c>
    </row>
    <row r="91" spans="2:13" ht="12.75">
      <c r="B91" s="137">
        <f t="shared" si="15"/>
      </c>
      <c r="C91" s="130">
        <f t="shared" si="13"/>
        <v>77</v>
      </c>
      <c r="D91" s="131">
        <f t="shared" si="17"/>
        <v>40299</v>
      </c>
      <c r="E91" s="132">
        <f t="shared" si="18"/>
        <v>236140.88914214197</v>
      </c>
      <c r="F91" s="195">
        <f t="shared" si="11"/>
        <v>1180.70444571071</v>
      </c>
      <c r="G91" s="134">
        <f t="shared" si="19"/>
        <v>378.1269196864632</v>
      </c>
      <c r="H91" s="134">
        <f t="shared" si="20"/>
        <v>235762.7622224555</v>
      </c>
      <c r="I91" s="134">
        <f t="shared" si="21"/>
        <v>95792.77735803767</v>
      </c>
      <c r="J91" s="138">
        <f t="shared" si="22"/>
        <v>24237.237777544688</v>
      </c>
      <c r="K91" s="196">
        <f t="shared" si="16"/>
        <v>0</v>
      </c>
      <c r="L91" s="136">
        <f t="shared" si="14"/>
        <v>0</v>
      </c>
      <c r="M91" s="136">
        <v>0</v>
      </c>
    </row>
    <row r="92" spans="2:13" ht="12.75">
      <c r="B92" s="137">
        <f t="shared" si="15"/>
      </c>
      <c r="C92" s="130">
        <f t="shared" si="13"/>
        <v>78</v>
      </c>
      <c r="D92" s="131">
        <f t="shared" si="17"/>
        <v>40330</v>
      </c>
      <c r="E92" s="132">
        <f t="shared" si="18"/>
        <v>235762.7622224555</v>
      </c>
      <c r="F92" s="195">
        <f t="shared" si="11"/>
        <v>1178.8138111122776</v>
      </c>
      <c r="G92" s="134">
        <f t="shared" si="19"/>
        <v>380.0175542848956</v>
      </c>
      <c r="H92" s="134">
        <f t="shared" si="20"/>
        <v>235382.7446681706</v>
      </c>
      <c r="I92" s="134">
        <f t="shared" si="21"/>
        <v>96971.59116914995</v>
      </c>
      <c r="J92" s="138">
        <f t="shared" si="22"/>
        <v>24617.255331829583</v>
      </c>
      <c r="K92" s="196">
        <f t="shared" si="16"/>
        <v>0</v>
      </c>
      <c r="L92" s="136">
        <f t="shared" si="14"/>
        <v>0</v>
      </c>
      <c r="M92" s="136">
        <v>0</v>
      </c>
    </row>
    <row r="93" spans="2:13" ht="12.75">
      <c r="B93" s="137">
        <f t="shared" si="15"/>
      </c>
      <c r="C93" s="130">
        <f t="shared" si="13"/>
        <v>79</v>
      </c>
      <c r="D93" s="131">
        <f t="shared" si="17"/>
        <v>40360</v>
      </c>
      <c r="E93" s="132">
        <f t="shared" si="18"/>
        <v>235382.7446681706</v>
      </c>
      <c r="F93" s="195">
        <f t="shared" si="11"/>
        <v>1176.913723340853</v>
      </c>
      <c r="G93" s="134">
        <f t="shared" si="19"/>
        <v>381.9176420563201</v>
      </c>
      <c r="H93" s="134">
        <f t="shared" si="20"/>
        <v>235000.82702611428</v>
      </c>
      <c r="I93" s="134">
        <f t="shared" si="21"/>
        <v>98148.5048924908</v>
      </c>
      <c r="J93" s="138">
        <f t="shared" si="22"/>
        <v>24999.172973885903</v>
      </c>
      <c r="K93" s="196">
        <f t="shared" si="16"/>
        <v>0</v>
      </c>
      <c r="L93" s="136">
        <f t="shared" si="14"/>
        <v>0</v>
      </c>
      <c r="M93" s="136">
        <v>0</v>
      </c>
    </row>
    <row r="94" spans="2:13" ht="12.75">
      <c r="B94" s="137">
        <f t="shared" si="15"/>
      </c>
      <c r="C94" s="130">
        <f t="shared" si="13"/>
        <v>80</v>
      </c>
      <c r="D94" s="131">
        <f t="shared" si="17"/>
        <v>40391</v>
      </c>
      <c r="E94" s="132">
        <f t="shared" si="18"/>
        <v>235000.82702611428</v>
      </c>
      <c r="F94" s="195">
        <f t="shared" si="11"/>
        <v>1175.0041351305715</v>
      </c>
      <c r="G94" s="134">
        <f t="shared" si="19"/>
        <v>383.82723026660165</v>
      </c>
      <c r="H94" s="134">
        <f t="shared" si="20"/>
        <v>234616.99979584766</v>
      </c>
      <c r="I94" s="134">
        <f t="shared" si="21"/>
        <v>99323.50902762137</v>
      </c>
      <c r="J94" s="138">
        <f t="shared" si="22"/>
        <v>25383.000204152504</v>
      </c>
      <c r="K94" s="196">
        <f t="shared" si="16"/>
        <v>0</v>
      </c>
      <c r="L94" s="136">
        <f t="shared" si="14"/>
        <v>0</v>
      </c>
      <c r="M94" s="136">
        <v>0</v>
      </c>
    </row>
    <row r="95" spans="2:13" ht="12.75">
      <c r="B95" s="137">
        <f t="shared" si="15"/>
      </c>
      <c r="C95" s="130">
        <f t="shared" si="13"/>
        <v>81</v>
      </c>
      <c r="D95" s="131">
        <f t="shared" si="17"/>
        <v>40422</v>
      </c>
      <c r="E95" s="132">
        <f t="shared" si="18"/>
        <v>234616.99979584766</v>
      </c>
      <c r="F95" s="195">
        <f t="shared" si="11"/>
        <v>1173.0849989792384</v>
      </c>
      <c r="G95" s="134">
        <f t="shared" si="19"/>
        <v>385.7463664179347</v>
      </c>
      <c r="H95" s="134">
        <f t="shared" si="20"/>
        <v>234231.25342942972</v>
      </c>
      <c r="I95" s="134">
        <f t="shared" si="21"/>
        <v>100496.59402660061</v>
      </c>
      <c r="J95" s="138">
        <f t="shared" si="22"/>
        <v>25768.746570570438</v>
      </c>
      <c r="K95" s="196">
        <f t="shared" si="16"/>
        <v>0</v>
      </c>
      <c r="L95" s="136">
        <f t="shared" si="14"/>
        <v>0</v>
      </c>
      <c r="M95" s="136">
        <v>0</v>
      </c>
    </row>
    <row r="96" spans="2:13" ht="12.75">
      <c r="B96" s="137">
        <f t="shared" si="15"/>
      </c>
      <c r="C96" s="130">
        <f t="shared" si="13"/>
        <v>82</v>
      </c>
      <c r="D96" s="131">
        <f t="shared" si="17"/>
        <v>40452</v>
      </c>
      <c r="E96" s="132">
        <f t="shared" si="18"/>
        <v>234231.25342942972</v>
      </c>
      <c r="F96" s="195">
        <f t="shared" si="11"/>
        <v>1171.1562671471486</v>
      </c>
      <c r="G96" s="134">
        <f t="shared" si="19"/>
        <v>387.6750982500246</v>
      </c>
      <c r="H96" s="134">
        <f t="shared" si="20"/>
        <v>233843.57833117968</v>
      </c>
      <c r="I96" s="134">
        <f t="shared" si="21"/>
        <v>101667.75029374775</v>
      </c>
      <c r="J96" s="138">
        <f t="shared" si="22"/>
        <v>26156.42166882046</v>
      </c>
      <c r="K96" s="196">
        <f t="shared" si="16"/>
        <v>0</v>
      </c>
      <c r="L96" s="136">
        <f t="shared" si="14"/>
        <v>0</v>
      </c>
      <c r="M96" s="136">
        <v>0</v>
      </c>
    </row>
    <row r="97" spans="2:13" ht="12.75">
      <c r="B97" s="137">
        <f t="shared" si="15"/>
      </c>
      <c r="C97" s="130">
        <f t="shared" si="13"/>
        <v>83</v>
      </c>
      <c r="D97" s="131">
        <f t="shared" si="17"/>
        <v>40483</v>
      </c>
      <c r="E97" s="132">
        <f t="shared" si="18"/>
        <v>233843.57833117968</v>
      </c>
      <c r="F97" s="195">
        <f t="shared" si="11"/>
        <v>1169.2178916558985</v>
      </c>
      <c r="G97" s="134">
        <f t="shared" si="19"/>
        <v>389.6134737412747</v>
      </c>
      <c r="H97" s="134">
        <f t="shared" si="20"/>
        <v>233453.9648574384</v>
      </c>
      <c r="I97" s="134">
        <f t="shared" si="21"/>
        <v>102836.96818540365</v>
      </c>
      <c r="J97" s="138">
        <f t="shared" si="22"/>
        <v>26546.035142561737</v>
      </c>
      <c r="K97" s="196">
        <f t="shared" si="16"/>
        <v>0</v>
      </c>
      <c r="L97" s="136">
        <f t="shared" si="14"/>
        <v>0</v>
      </c>
      <c r="M97" s="136">
        <v>0</v>
      </c>
    </row>
    <row r="98" spans="2:13" ht="12.75">
      <c r="B98" s="137">
        <f t="shared" si="15"/>
      </c>
      <c r="C98" s="130">
        <f t="shared" si="13"/>
        <v>84</v>
      </c>
      <c r="D98" s="131">
        <f t="shared" si="17"/>
        <v>40513</v>
      </c>
      <c r="E98" s="132">
        <f t="shared" si="18"/>
        <v>233453.9648574384</v>
      </c>
      <c r="F98" s="195">
        <f aca="true" t="shared" si="23" ref="F98:F161">$E$6/$E$8*E98</f>
        <v>1167.269824287192</v>
      </c>
      <c r="G98" s="134">
        <f t="shared" si="19"/>
        <v>391.56154110998114</v>
      </c>
      <c r="H98" s="134">
        <f t="shared" si="20"/>
        <v>233062.40331632842</v>
      </c>
      <c r="I98" s="134">
        <f t="shared" si="21"/>
        <v>104004.23800969083</v>
      </c>
      <c r="J98" s="138">
        <f t="shared" si="22"/>
        <v>26937.59668367172</v>
      </c>
      <c r="K98" s="196">
        <f t="shared" si="16"/>
        <v>0</v>
      </c>
      <c r="L98" s="136">
        <f t="shared" si="14"/>
        <v>0</v>
      </c>
      <c r="M98" s="136">
        <v>0</v>
      </c>
    </row>
    <row r="99" spans="2:13" ht="12.75">
      <c r="B99" s="137" t="str">
        <f t="shared" si="15"/>
        <v>Year 8</v>
      </c>
      <c r="C99" s="130">
        <f t="shared" si="13"/>
        <v>85</v>
      </c>
      <c r="D99" s="131">
        <f t="shared" si="17"/>
        <v>40544</v>
      </c>
      <c r="E99" s="132">
        <f t="shared" si="18"/>
        <v>233062.40331632842</v>
      </c>
      <c r="F99" s="195">
        <f t="shared" si="23"/>
        <v>1165.3120165816422</v>
      </c>
      <c r="G99" s="134">
        <f t="shared" si="19"/>
        <v>393.519348815531</v>
      </c>
      <c r="H99" s="134">
        <f t="shared" si="20"/>
        <v>232668.8839675129</v>
      </c>
      <c r="I99" s="134">
        <f t="shared" si="21"/>
        <v>105169.55002627247</v>
      </c>
      <c r="J99" s="138">
        <f t="shared" si="22"/>
        <v>27331.11603248725</v>
      </c>
      <c r="K99" s="196">
        <f t="shared" si="16"/>
        <v>0</v>
      </c>
      <c r="L99" s="136">
        <f t="shared" si="14"/>
        <v>0</v>
      </c>
      <c r="M99" s="136">
        <v>0</v>
      </c>
    </row>
    <row r="100" spans="2:13" ht="12.75">
      <c r="B100" s="137">
        <f t="shared" si="15"/>
      </c>
      <c r="C100" s="130">
        <f t="shared" si="13"/>
        <v>86</v>
      </c>
      <c r="D100" s="131">
        <f t="shared" si="17"/>
        <v>40575</v>
      </c>
      <c r="E100" s="132">
        <f t="shared" si="18"/>
        <v>232668.8839675129</v>
      </c>
      <c r="F100" s="195">
        <f t="shared" si="23"/>
        <v>1163.3444198375646</v>
      </c>
      <c r="G100" s="134">
        <f t="shared" si="19"/>
        <v>395.48694555960856</v>
      </c>
      <c r="H100" s="134">
        <f t="shared" si="20"/>
        <v>232273.39702195328</v>
      </c>
      <c r="I100" s="134">
        <f t="shared" si="21"/>
        <v>106332.89444611003</v>
      </c>
      <c r="J100" s="138">
        <f t="shared" si="22"/>
        <v>27726.60297804686</v>
      </c>
      <c r="K100" s="196">
        <f t="shared" si="16"/>
        <v>0</v>
      </c>
      <c r="L100" s="136">
        <f t="shared" si="14"/>
        <v>0</v>
      </c>
      <c r="M100" s="136">
        <v>0</v>
      </c>
    </row>
    <row r="101" spans="2:13" ht="12.75">
      <c r="B101" s="137">
        <f t="shared" si="15"/>
      </c>
      <c r="C101" s="130">
        <f t="shared" si="13"/>
        <v>87</v>
      </c>
      <c r="D101" s="131">
        <f t="shared" si="17"/>
        <v>40603</v>
      </c>
      <c r="E101" s="132">
        <f t="shared" si="18"/>
        <v>232273.39702195328</v>
      </c>
      <c r="F101" s="195">
        <f t="shared" si="23"/>
        <v>1161.3669851097663</v>
      </c>
      <c r="G101" s="134">
        <f t="shared" si="19"/>
        <v>397.4643802874068</v>
      </c>
      <c r="H101" s="134">
        <f t="shared" si="20"/>
        <v>231875.93264166586</v>
      </c>
      <c r="I101" s="134">
        <f t="shared" si="21"/>
        <v>107494.2614312198</v>
      </c>
      <c r="J101" s="138">
        <f t="shared" si="22"/>
        <v>28124.067358334265</v>
      </c>
      <c r="K101" s="196">
        <f t="shared" si="16"/>
        <v>0</v>
      </c>
      <c r="L101" s="136">
        <f t="shared" si="14"/>
        <v>0</v>
      </c>
      <c r="M101" s="136">
        <v>0</v>
      </c>
    </row>
    <row r="102" spans="2:13" ht="12.75">
      <c r="B102" s="137">
        <f t="shared" si="15"/>
      </c>
      <c r="C102" s="130">
        <f t="shared" si="13"/>
        <v>88</v>
      </c>
      <c r="D102" s="131">
        <f t="shared" si="17"/>
        <v>40634</v>
      </c>
      <c r="E102" s="132">
        <f t="shared" si="18"/>
        <v>231875.93264166586</v>
      </c>
      <c r="F102" s="195">
        <f t="shared" si="23"/>
        <v>1159.3796632083292</v>
      </c>
      <c r="G102" s="134">
        <f t="shared" si="19"/>
        <v>399.4517021888439</v>
      </c>
      <c r="H102" s="134">
        <f t="shared" si="20"/>
        <v>231476.480939477</v>
      </c>
      <c r="I102" s="134">
        <f t="shared" si="21"/>
        <v>108653.64109442812</v>
      </c>
      <c r="J102" s="138">
        <f t="shared" si="22"/>
        <v>28523.519060523107</v>
      </c>
      <c r="K102" s="196">
        <f t="shared" si="16"/>
        <v>0</v>
      </c>
      <c r="L102" s="136">
        <f t="shared" si="14"/>
        <v>0</v>
      </c>
      <c r="M102" s="136">
        <v>0</v>
      </c>
    </row>
    <row r="103" spans="2:13" ht="12.75">
      <c r="B103" s="137">
        <f t="shared" si="15"/>
      </c>
      <c r="C103" s="130">
        <f t="shared" si="13"/>
        <v>89</v>
      </c>
      <c r="D103" s="131">
        <f t="shared" si="17"/>
        <v>40664</v>
      </c>
      <c r="E103" s="132">
        <f t="shared" si="18"/>
        <v>231476.480939477</v>
      </c>
      <c r="F103" s="195">
        <f t="shared" si="23"/>
        <v>1157.382404697385</v>
      </c>
      <c r="G103" s="134">
        <f t="shared" si="19"/>
        <v>401.44896069978813</v>
      </c>
      <c r="H103" s="134">
        <f t="shared" si="20"/>
        <v>231075.03197877723</v>
      </c>
      <c r="I103" s="134">
        <f t="shared" si="21"/>
        <v>109811.02349912551</v>
      </c>
      <c r="J103" s="138">
        <f t="shared" si="22"/>
        <v>28924.968021222896</v>
      </c>
      <c r="K103" s="196">
        <f t="shared" si="16"/>
        <v>0</v>
      </c>
      <c r="L103" s="136">
        <f t="shared" si="14"/>
        <v>0</v>
      </c>
      <c r="M103" s="136">
        <v>0</v>
      </c>
    </row>
    <row r="104" spans="2:13" ht="12.75">
      <c r="B104" s="137">
        <f t="shared" si="15"/>
      </c>
      <c r="C104" s="130">
        <f t="shared" si="13"/>
        <v>90</v>
      </c>
      <c r="D104" s="131">
        <f t="shared" si="17"/>
        <v>40695</v>
      </c>
      <c r="E104" s="132">
        <f t="shared" si="18"/>
        <v>231075.03197877723</v>
      </c>
      <c r="F104" s="195">
        <f t="shared" si="23"/>
        <v>1155.3751598938861</v>
      </c>
      <c r="G104" s="134">
        <f t="shared" si="19"/>
        <v>403.45620550328704</v>
      </c>
      <c r="H104" s="134">
        <f t="shared" si="20"/>
        <v>230671.57577327394</v>
      </c>
      <c r="I104" s="134">
        <f t="shared" si="21"/>
        <v>110966.3986590194</v>
      </c>
      <c r="J104" s="138">
        <f t="shared" si="22"/>
        <v>29328.424226726183</v>
      </c>
      <c r="K104" s="196">
        <f t="shared" si="16"/>
        <v>0</v>
      </c>
      <c r="L104" s="136">
        <f t="shared" si="14"/>
        <v>0</v>
      </c>
      <c r="M104" s="136">
        <v>0</v>
      </c>
    </row>
    <row r="105" spans="2:13" ht="12.75">
      <c r="B105" s="137">
        <f t="shared" si="15"/>
      </c>
      <c r="C105" s="130">
        <f t="shared" si="13"/>
        <v>91</v>
      </c>
      <c r="D105" s="131">
        <f t="shared" si="17"/>
        <v>40725</v>
      </c>
      <c r="E105" s="132">
        <f t="shared" si="18"/>
        <v>230671.57577327394</v>
      </c>
      <c r="F105" s="195">
        <f t="shared" si="23"/>
        <v>1153.3578788663697</v>
      </c>
      <c r="G105" s="134">
        <f t="shared" si="19"/>
        <v>405.4734865308035</v>
      </c>
      <c r="H105" s="134">
        <f t="shared" si="20"/>
        <v>230266.10228674315</v>
      </c>
      <c r="I105" s="134">
        <f t="shared" si="21"/>
        <v>112119.75653788577</v>
      </c>
      <c r="J105" s="138">
        <f t="shared" si="22"/>
        <v>29733.897713256985</v>
      </c>
      <c r="K105" s="196">
        <f t="shared" si="16"/>
        <v>0</v>
      </c>
      <c r="L105" s="136">
        <f t="shared" si="14"/>
        <v>0</v>
      </c>
      <c r="M105" s="136">
        <v>0</v>
      </c>
    </row>
    <row r="106" spans="2:13" ht="12.75">
      <c r="B106" s="137">
        <f t="shared" si="15"/>
      </c>
      <c r="C106" s="130">
        <f t="shared" si="13"/>
        <v>92</v>
      </c>
      <c r="D106" s="131">
        <f t="shared" si="17"/>
        <v>40756</v>
      </c>
      <c r="E106" s="132">
        <f t="shared" si="18"/>
        <v>230266.10228674315</v>
      </c>
      <c r="F106" s="195">
        <f t="shared" si="23"/>
        <v>1151.3305114337159</v>
      </c>
      <c r="G106" s="134">
        <f t="shared" si="19"/>
        <v>407.5008539634573</v>
      </c>
      <c r="H106" s="134">
        <f t="shared" si="20"/>
        <v>229858.6014327797</v>
      </c>
      <c r="I106" s="134">
        <f t="shared" si="21"/>
        <v>113271.08704931948</v>
      </c>
      <c r="J106" s="138">
        <f t="shared" si="22"/>
        <v>30141.398567220444</v>
      </c>
      <c r="K106" s="196">
        <f t="shared" si="16"/>
        <v>0</v>
      </c>
      <c r="L106" s="136">
        <f t="shared" si="14"/>
        <v>0</v>
      </c>
      <c r="M106" s="136">
        <v>0</v>
      </c>
    </row>
    <row r="107" spans="2:13" ht="12.75">
      <c r="B107" s="137">
        <f t="shared" si="15"/>
      </c>
      <c r="C107" s="130">
        <f t="shared" si="13"/>
        <v>93</v>
      </c>
      <c r="D107" s="131">
        <f t="shared" si="17"/>
        <v>40787</v>
      </c>
      <c r="E107" s="132">
        <f t="shared" si="18"/>
        <v>229858.6014327797</v>
      </c>
      <c r="F107" s="195">
        <f t="shared" si="23"/>
        <v>1149.2930071638984</v>
      </c>
      <c r="G107" s="134">
        <f t="shared" si="19"/>
        <v>409.5383582332747</v>
      </c>
      <c r="H107" s="134">
        <f t="shared" si="20"/>
        <v>229449.0630745464</v>
      </c>
      <c r="I107" s="134">
        <f t="shared" si="21"/>
        <v>114420.38005648338</v>
      </c>
      <c r="J107" s="138">
        <f t="shared" si="22"/>
        <v>30550.93692545372</v>
      </c>
      <c r="K107" s="196">
        <f t="shared" si="16"/>
        <v>0</v>
      </c>
      <c r="L107" s="136">
        <f t="shared" si="14"/>
        <v>0</v>
      </c>
      <c r="M107" s="136">
        <v>0</v>
      </c>
    </row>
    <row r="108" spans="2:13" ht="12.75">
      <c r="B108" s="137">
        <f t="shared" si="15"/>
      </c>
      <c r="C108" s="130">
        <f t="shared" si="13"/>
        <v>94</v>
      </c>
      <c r="D108" s="131">
        <f t="shared" si="17"/>
        <v>40817</v>
      </c>
      <c r="E108" s="132">
        <f t="shared" si="18"/>
        <v>229449.0630745464</v>
      </c>
      <c r="F108" s="195">
        <f t="shared" si="23"/>
        <v>1147.245315372732</v>
      </c>
      <c r="G108" s="134">
        <f t="shared" si="19"/>
        <v>411.5860500244412</v>
      </c>
      <c r="H108" s="134">
        <f t="shared" si="20"/>
        <v>229037.47702452197</v>
      </c>
      <c r="I108" s="134">
        <f t="shared" si="21"/>
        <v>115567.6253718561</v>
      </c>
      <c r="J108" s="138">
        <f t="shared" si="22"/>
        <v>30962.52297547816</v>
      </c>
      <c r="K108" s="196">
        <f t="shared" si="16"/>
        <v>0</v>
      </c>
      <c r="L108" s="136">
        <f t="shared" si="14"/>
        <v>0</v>
      </c>
      <c r="M108" s="136">
        <v>0</v>
      </c>
    </row>
    <row r="109" spans="2:13" ht="12.75">
      <c r="B109" s="137">
        <f t="shared" si="15"/>
      </c>
      <c r="C109" s="130">
        <f t="shared" si="13"/>
        <v>95</v>
      </c>
      <c r="D109" s="131">
        <f t="shared" si="17"/>
        <v>40848</v>
      </c>
      <c r="E109" s="132">
        <f t="shared" si="18"/>
        <v>229037.47702452197</v>
      </c>
      <c r="F109" s="195">
        <f t="shared" si="23"/>
        <v>1145.1873851226098</v>
      </c>
      <c r="G109" s="134">
        <f t="shared" si="19"/>
        <v>413.6439802745633</v>
      </c>
      <c r="H109" s="134">
        <f t="shared" si="20"/>
        <v>228623.8330442474</v>
      </c>
      <c r="I109" s="134">
        <f t="shared" si="21"/>
        <v>116712.81275697872</v>
      </c>
      <c r="J109" s="138">
        <f t="shared" si="22"/>
        <v>31376.166955752724</v>
      </c>
      <c r="K109" s="196">
        <f t="shared" si="16"/>
        <v>0</v>
      </c>
      <c r="L109" s="136">
        <f t="shared" si="14"/>
        <v>0</v>
      </c>
      <c r="M109" s="136">
        <v>0</v>
      </c>
    </row>
    <row r="110" spans="2:13" ht="12.75">
      <c r="B110" s="137">
        <f t="shared" si="15"/>
      </c>
      <c r="C110" s="130">
        <f t="shared" si="13"/>
        <v>96</v>
      </c>
      <c r="D110" s="131">
        <f t="shared" si="17"/>
        <v>40878</v>
      </c>
      <c r="E110" s="132">
        <f t="shared" si="18"/>
        <v>228623.8330442474</v>
      </c>
      <c r="F110" s="195">
        <f t="shared" si="23"/>
        <v>1143.1191652212372</v>
      </c>
      <c r="G110" s="134">
        <f t="shared" si="19"/>
        <v>415.712200175936</v>
      </c>
      <c r="H110" s="134">
        <f t="shared" si="20"/>
        <v>228208.12084407147</v>
      </c>
      <c r="I110" s="134">
        <f t="shared" si="21"/>
        <v>117855.93192219996</v>
      </c>
      <c r="J110" s="138">
        <f t="shared" si="22"/>
        <v>31791.87915592866</v>
      </c>
      <c r="K110" s="196">
        <f t="shared" si="16"/>
        <v>0</v>
      </c>
      <c r="L110" s="136">
        <f t="shared" si="14"/>
        <v>0</v>
      </c>
      <c r="M110" s="136">
        <v>0</v>
      </c>
    </row>
    <row r="111" spans="2:13" ht="12.75">
      <c r="B111" s="137" t="str">
        <f t="shared" si="15"/>
        <v>Year 9</v>
      </c>
      <c r="C111" s="130">
        <f t="shared" si="13"/>
        <v>97</v>
      </c>
      <c r="D111" s="131">
        <f t="shared" si="17"/>
        <v>40909</v>
      </c>
      <c r="E111" s="132">
        <f t="shared" si="18"/>
        <v>228208.12084407147</v>
      </c>
      <c r="F111" s="195">
        <f t="shared" si="23"/>
        <v>1141.0406042203574</v>
      </c>
      <c r="G111" s="134">
        <f t="shared" si="19"/>
        <v>417.79076117681575</v>
      </c>
      <c r="H111" s="134">
        <f t="shared" si="20"/>
        <v>227790.33008289465</v>
      </c>
      <c r="I111" s="134">
        <f t="shared" si="21"/>
        <v>118996.97252642032</v>
      </c>
      <c r="J111" s="138">
        <f t="shared" si="22"/>
        <v>32209.669917105475</v>
      </c>
      <c r="K111" s="196">
        <f t="shared" si="16"/>
        <v>0</v>
      </c>
      <c r="L111" s="136">
        <f t="shared" si="14"/>
        <v>0</v>
      </c>
      <c r="M111" s="136">
        <v>0</v>
      </c>
    </row>
    <row r="112" spans="2:13" ht="12.75">
      <c r="B112" s="137">
        <f t="shared" si="15"/>
      </c>
      <c r="C112" s="130">
        <f t="shared" si="13"/>
        <v>98</v>
      </c>
      <c r="D112" s="131">
        <f t="shared" si="17"/>
        <v>40940</v>
      </c>
      <c r="E112" s="132">
        <f t="shared" si="18"/>
        <v>227790.33008289465</v>
      </c>
      <c r="F112" s="195">
        <f t="shared" si="23"/>
        <v>1138.9516504144733</v>
      </c>
      <c r="G112" s="134">
        <f t="shared" si="19"/>
        <v>419.87971498269985</v>
      </c>
      <c r="H112" s="134">
        <f t="shared" si="20"/>
        <v>227370.45036791195</v>
      </c>
      <c r="I112" s="134">
        <f t="shared" si="21"/>
        <v>120135.92417683479</v>
      </c>
      <c r="J112" s="138">
        <f t="shared" si="22"/>
        <v>32629.549632088176</v>
      </c>
      <c r="K112" s="196">
        <f t="shared" si="16"/>
        <v>0</v>
      </c>
      <c r="L112" s="136">
        <f t="shared" si="14"/>
        <v>0</v>
      </c>
      <c r="M112" s="136">
        <v>0</v>
      </c>
    </row>
    <row r="113" spans="2:13" ht="12.75">
      <c r="B113" s="137">
        <f t="shared" si="15"/>
      </c>
      <c r="C113" s="130">
        <f t="shared" si="13"/>
        <v>99</v>
      </c>
      <c r="D113" s="131">
        <f t="shared" si="17"/>
        <v>40969</v>
      </c>
      <c r="E113" s="132">
        <f t="shared" si="18"/>
        <v>227370.45036791195</v>
      </c>
      <c r="F113" s="195">
        <f t="shared" si="23"/>
        <v>1136.8522518395598</v>
      </c>
      <c r="G113" s="134">
        <f t="shared" si="19"/>
        <v>421.97911355761335</v>
      </c>
      <c r="H113" s="134">
        <f t="shared" si="20"/>
        <v>226948.47125435434</v>
      </c>
      <c r="I113" s="134">
        <f t="shared" si="21"/>
        <v>121272.77642867435</v>
      </c>
      <c r="J113" s="138">
        <f t="shared" si="22"/>
        <v>33051.52874564579</v>
      </c>
      <c r="K113" s="196">
        <f t="shared" si="16"/>
        <v>0</v>
      </c>
      <c r="L113" s="136">
        <f t="shared" si="14"/>
        <v>0</v>
      </c>
      <c r="M113" s="136">
        <v>0</v>
      </c>
    </row>
    <row r="114" spans="2:13" ht="12.75">
      <c r="B114" s="137">
        <f t="shared" si="15"/>
      </c>
      <c r="C114" s="130">
        <f t="shared" si="13"/>
        <v>100</v>
      </c>
      <c r="D114" s="131">
        <f t="shared" si="17"/>
        <v>41000</v>
      </c>
      <c r="E114" s="132">
        <f t="shared" si="18"/>
        <v>226948.47125435434</v>
      </c>
      <c r="F114" s="195">
        <f t="shared" si="23"/>
        <v>1134.7423562717718</v>
      </c>
      <c r="G114" s="134">
        <f t="shared" si="19"/>
        <v>424.0890091254014</v>
      </c>
      <c r="H114" s="134">
        <f t="shared" si="20"/>
        <v>226524.38224522895</v>
      </c>
      <c r="I114" s="134">
        <f t="shared" si="21"/>
        <v>122407.51878494612</v>
      </c>
      <c r="J114" s="138">
        <f t="shared" si="22"/>
        <v>33475.61775477119</v>
      </c>
      <c r="K114" s="196">
        <f t="shared" si="16"/>
        <v>0</v>
      </c>
      <c r="L114" s="136">
        <f t="shared" si="14"/>
        <v>0</v>
      </c>
      <c r="M114" s="136">
        <v>0</v>
      </c>
    </row>
    <row r="115" spans="2:13" ht="12.75">
      <c r="B115" s="137">
        <f t="shared" si="15"/>
      </c>
      <c r="C115" s="130">
        <f t="shared" si="13"/>
        <v>101</v>
      </c>
      <c r="D115" s="131">
        <f t="shared" si="17"/>
        <v>41030</v>
      </c>
      <c r="E115" s="132">
        <f t="shared" si="18"/>
        <v>226524.38224522895</v>
      </c>
      <c r="F115" s="195">
        <f t="shared" si="23"/>
        <v>1132.6219112261447</v>
      </c>
      <c r="G115" s="134">
        <f t="shared" si="19"/>
        <v>426.2094541710285</v>
      </c>
      <c r="H115" s="134">
        <f t="shared" si="20"/>
        <v>226098.1727910579</v>
      </c>
      <c r="I115" s="134">
        <f t="shared" si="21"/>
        <v>123540.14069617227</v>
      </c>
      <c r="J115" s="138">
        <f t="shared" si="22"/>
        <v>33901.827208942224</v>
      </c>
      <c r="K115" s="196">
        <f t="shared" si="16"/>
        <v>0</v>
      </c>
      <c r="L115" s="136">
        <f t="shared" si="14"/>
        <v>0</v>
      </c>
      <c r="M115" s="136">
        <v>0</v>
      </c>
    </row>
    <row r="116" spans="2:13" ht="12.75">
      <c r="B116" s="137">
        <f t="shared" si="15"/>
      </c>
      <c r="C116" s="130">
        <f t="shared" si="13"/>
        <v>102</v>
      </c>
      <c r="D116" s="131">
        <f t="shared" si="17"/>
        <v>41061</v>
      </c>
      <c r="E116" s="132">
        <f t="shared" si="18"/>
        <v>226098.1727910579</v>
      </c>
      <c r="F116" s="195">
        <f t="shared" si="23"/>
        <v>1130.4908639552896</v>
      </c>
      <c r="G116" s="134">
        <f t="shared" si="19"/>
        <v>428.3405014418836</v>
      </c>
      <c r="H116" s="134">
        <f t="shared" si="20"/>
        <v>225669.83228961602</v>
      </c>
      <c r="I116" s="134">
        <f t="shared" si="21"/>
        <v>124670.63156012756</v>
      </c>
      <c r="J116" s="138">
        <f t="shared" si="22"/>
        <v>34330.16771038411</v>
      </c>
      <c r="K116" s="196">
        <f t="shared" si="16"/>
        <v>0</v>
      </c>
      <c r="L116" s="136">
        <f t="shared" si="14"/>
        <v>0</v>
      </c>
      <c r="M116" s="136">
        <v>0</v>
      </c>
    </row>
    <row r="117" spans="2:13" ht="12.75">
      <c r="B117" s="137">
        <f t="shared" si="15"/>
      </c>
      <c r="C117" s="130">
        <f t="shared" si="13"/>
        <v>103</v>
      </c>
      <c r="D117" s="131">
        <f t="shared" si="17"/>
        <v>41091</v>
      </c>
      <c r="E117" s="132">
        <f t="shared" si="18"/>
        <v>225669.83228961602</v>
      </c>
      <c r="F117" s="195">
        <f t="shared" si="23"/>
        <v>1128.3491614480802</v>
      </c>
      <c r="G117" s="134">
        <f t="shared" si="19"/>
        <v>430.482203949093</v>
      </c>
      <c r="H117" s="134">
        <f t="shared" si="20"/>
        <v>225239.35008566693</v>
      </c>
      <c r="I117" s="134">
        <f t="shared" si="21"/>
        <v>125798.98072157563</v>
      </c>
      <c r="J117" s="138">
        <f t="shared" si="22"/>
        <v>34760.6499143332</v>
      </c>
      <c r="K117" s="196">
        <f t="shared" si="16"/>
        <v>0</v>
      </c>
      <c r="L117" s="136">
        <f t="shared" si="14"/>
        <v>0</v>
      </c>
      <c r="M117" s="136">
        <v>0</v>
      </c>
    </row>
    <row r="118" spans="2:13" ht="12.75">
      <c r="B118" s="137">
        <f t="shared" si="15"/>
      </c>
      <c r="C118" s="130">
        <f t="shared" si="13"/>
        <v>104</v>
      </c>
      <c r="D118" s="131">
        <f t="shared" si="17"/>
        <v>41122</v>
      </c>
      <c r="E118" s="132">
        <f t="shared" si="18"/>
        <v>225239.35008566693</v>
      </c>
      <c r="F118" s="195">
        <f t="shared" si="23"/>
        <v>1126.1967504283346</v>
      </c>
      <c r="G118" s="134">
        <f t="shared" si="19"/>
        <v>432.6346149688386</v>
      </c>
      <c r="H118" s="134">
        <f t="shared" si="20"/>
        <v>224806.71547069808</v>
      </c>
      <c r="I118" s="134">
        <f t="shared" si="21"/>
        <v>126925.17747200397</v>
      </c>
      <c r="J118" s="138">
        <f t="shared" si="22"/>
        <v>35193.28452930204</v>
      </c>
      <c r="K118" s="196">
        <f t="shared" si="16"/>
        <v>0</v>
      </c>
      <c r="L118" s="136">
        <f t="shared" si="14"/>
        <v>0</v>
      </c>
      <c r="M118" s="136">
        <v>0</v>
      </c>
    </row>
    <row r="119" spans="2:13" ht="12.75">
      <c r="B119" s="137">
        <f t="shared" si="15"/>
      </c>
      <c r="C119" s="130">
        <f t="shared" si="13"/>
        <v>105</v>
      </c>
      <c r="D119" s="131">
        <f t="shared" si="17"/>
        <v>41153</v>
      </c>
      <c r="E119" s="132">
        <f t="shared" si="18"/>
        <v>224806.71547069808</v>
      </c>
      <c r="F119" s="195">
        <f t="shared" si="23"/>
        <v>1124.0335773534905</v>
      </c>
      <c r="G119" s="134">
        <f t="shared" si="19"/>
        <v>434.79778804368266</v>
      </c>
      <c r="H119" s="134">
        <f t="shared" si="20"/>
        <v>224371.9176826544</v>
      </c>
      <c r="I119" s="134">
        <f t="shared" si="21"/>
        <v>128049.21104935746</v>
      </c>
      <c r="J119" s="138">
        <f t="shared" si="22"/>
        <v>35628.08231734572</v>
      </c>
      <c r="K119" s="196">
        <f t="shared" si="16"/>
        <v>0</v>
      </c>
      <c r="L119" s="136">
        <f t="shared" si="14"/>
        <v>0</v>
      </c>
      <c r="M119" s="136">
        <v>0</v>
      </c>
    </row>
    <row r="120" spans="2:13" ht="12.75">
      <c r="B120" s="137">
        <f t="shared" si="15"/>
      </c>
      <c r="C120" s="130">
        <f t="shared" si="13"/>
        <v>106</v>
      </c>
      <c r="D120" s="131">
        <f t="shared" si="17"/>
        <v>41183</v>
      </c>
      <c r="E120" s="132">
        <f t="shared" si="18"/>
        <v>224371.9176826544</v>
      </c>
      <c r="F120" s="195">
        <f t="shared" si="23"/>
        <v>1121.859588413272</v>
      </c>
      <c r="G120" s="134">
        <f t="shared" si="19"/>
        <v>436.97177698390124</v>
      </c>
      <c r="H120" s="134">
        <f t="shared" si="20"/>
        <v>223934.9459056705</v>
      </c>
      <c r="I120" s="134">
        <f t="shared" si="21"/>
        <v>129171.07063777072</v>
      </c>
      <c r="J120" s="138">
        <f t="shared" si="22"/>
        <v>36065.05409432962</v>
      </c>
      <c r="K120" s="196">
        <f t="shared" si="16"/>
        <v>0</v>
      </c>
      <c r="L120" s="136">
        <f t="shared" si="14"/>
        <v>0</v>
      </c>
      <c r="M120" s="136">
        <v>0</v>
      </c>
    </row>
    <row r="121" spans="2:13" ht="12.75">
      <c r="B121" s="137">
        <f t="shared" si="15"/>
      </c>
      <c r="C121" s="130">
        <f t="shared" si="13"/>
        <v>107</v>
      </c>
      <c r="D121" s="131">
        <f t="shared" si="17"/>
        <v>41214</v>
      </c>
      <c r="E121" s="132">
        <f t="shared" si="18"/>
        <v>223934.9459056705</v>
      </c>
      <c r="F121" s="195">
        <f t="shared" si="23"/>
        <v>1119.6747295283526</v>
      </c>
      <c r="G121" s="134">
        <f t="shared" si="19"/>
        <v>439.15663586882056</v>
      </c>
      <c r="H121" s="134">
        <f t="shared" si="20"/>
        <v>223495.78926980167</v>
      </c>
      <c r="I121" s="134">
        <f t="shared" si="21"/>
        <v>130290.74536729908</v>
      </c>
      <c r="J121" s="138">
        <f t="shared" si="22"/>
        <v>36504.21073019844</v>
      </c>
      <c r="K121" s="196">
        <f t="shared" si="16"/>
        <v>0</v>
      </c>
      <c r="L121" s="136">
        <f t="shared" si="14"/>
        <v>0</v>
      </c>
      <c r="M121" s="136">
        <v>0</v>
      </c>
    </row>
    <row r="122" spans="2:13" ht="12.75">
      <c r="B122" s="137">
        <f t="shared" si="15"/>
      </c>
      <c r="C122" s="130">
        <f t="shared" si="13"/>
        <v>108</v>
      </c>
      <c r="D122" s="131">
        <f t="shared" si="17"/>
        <v>41244</v>
      </c>
      <c r="E122" s="132">
        <f t="shared" si="18"/>
        <v>223495.78926980167</v>
      </c>
      <c r="F122" s="195">
        <f t="shared" si="23"/>
        <v>1117.4789463490083</v>
      </c>
      <c r="G122" s="134">
        <f t="shared" si="19"/>
        <v>441.35241904816485</v>
      </c>
      <c r="H122" s="134">
        <f t="shared" si="20"/>
        <v>223054.4368507535</v>
      </c>
      <c r="I122" s="134">
        <f t="shared" si="21"/>
        <v>131408.2243136481</v>
      </c>
      <c r="J122" s="138">
        <f t="shared" si="22"/>
        <v>36945.563149246605</v>
      </c>
      <c r="K122" s="196">
        <f t="shared" si="16"/>
        <v>0</v>
      </c>
      <c r="L122" s="136">
        <f t="shared" si="14"/>
        <v>0</v>
      </c>
      <c r="M122" s="136">
        <v>0</v>
      </c>
    </row>
    <row r="123" spans="2:13" ht="12.75">
      <c r="B123" s="137" t="str">
        <f t="shared" si="15"/>
        <v>Year 10</v>
      </c>
      <c r="C123" s="130">
        <f t="shared" si="13"/>
        <v>109</v>
      </c>
      <c r="D123" s="131">
        <f t="shared" si="17"/>
        <v>41275</v>
      </c>
      <c r="E123" s="132">
        <f t="shared" si="18"/>
        <v>223054.4368507535</v>
      </c>
      <c r="F123" s="195">
        <f t="shared" si="23"/>
        <v>1115.2721842537676</v>
      </c>
      <c r="G123" s="134">
        <f t="shared" si="19"/>
        <v>443.55918114340557</v>
      </c>
      <c r="H123" s="134">
        <f t="shared" si="20"/>
        <v>222610.87766961008</v>
      </c>
      <c r="I123" s="134">
        <f t="shared" si="21"/>
        <v>132523.49649790186</v>
      </c>
      <c r="J123" s="138">
        <f t="shared" si="22"/>
        <v>37389.12233039001</v>
      </c>
      <c r="K123" s="196">
        <f t="shared" si="16"/>
        <v>0</v>
      </c>
      <c r="L123" s="136">
        <f t="shared" si="14"/>
        <v>0</v>
      </c>
      <c r="M123" s="136">
        <v>0</v>
      </c>
    </row>
    <row r="124" spans="2:13" ht="12.75">
      <c r="B124" s="137">
        <f t="shared" si="15"/>
      </c>
      <c r="C124" s="130">
        <f t="shared" si="13"/>
        <v>110</v>
      </c>
      <c r="D124" s="131">
        <f t="shared" si="17"/>
        <v>41306</v>
      </c>
      <c r="E124" s="132">
        <f t="shared" si="18"/>
        <v>222610.87766961008</v>
      </c>
      <c r="F124" s="195">
        <f t="shared" si="23"/>
        <v>1113.0543883480505</v>
      </c>
      <c r="G124" s="134">
        <f t="shared" si="19"/>
        <v>445.7769770491227</v>
      </c>
      <c r="H124" s="134">
        <f t="shared" si="20"/>
        <v>222165.10069256095</v>
      </c>
      <c r="I124" s="134">
        <f t="shared" si="21"/>
        <v>133636.5508862499</v>
      </c>
      <c r="J124" s="138">
        <f t="shared" si="22"/>
        <v>37834.89930743913</v>
      </c>
      <c r="K124" s="196">
        <f t="shared" si="16"/>
        <v>0</v>
      </c>
      <c r="L124" s="136">
        <f t="shared" si="14"/>
        <v>0</v>
      </c>
      <c r="M124" s="136">
        <v>0</v>
      </c>
    </row>
    <row r="125" spans="2:13" ht="12.75">
      <c r="B125" s="137">
        <f t="shared" si="15"/>
      </c>
      <c r="C125" s="130">
        <f t="shared" si="13"/>
        <v>111</v>
      </c>
      <c r="D125" s="131">
        <f t="shared" si="17"/>
        <v>41334</v>
      </c>
      <c r="E125" s="132">
        <f t="shared" si="18"/>
        <v>222165.10069256095</v>
      </c>
      <c r="F125" s="195">
        <f t="shared" si="23"/>
        <v>1110.8255034628048</v>
      </c>
      <c r="G125" s="134">
        <f t="shared" si="19"/>
        <v>448.00586193436834</v>
      </c>
      <c r="H125" s="134">
        <f t="shared" si="20"/>
        <v>221717.0948306266</v>
      </c>
      <c r="I125" s="134">
        <f t="shared" si="21"/>
        <v>134747.3763897127</v>
      </c>
      <c r="J125" s="138">
        <f t="shared" si="22"/>
        <v>38282.9051693735</v>
      </c>
      <c r="K125" s="196">
        <f t="shared" si="16"/>
        <v>0</v>
      </c>
      <c r="L125" s="136">
        <f t="shared" si="14"/>
        <v>0</v>
      </c>
      <c r="M125" s="136">
        <v>0</v>
      </c>
    </row>
    <row r="126" spans="2:13" ht="12.75">
      <c r="B126" s="137">
        <f t="shared" si="15"/>
      </c>
      <c r="C126" s="130">
        <f t="shared" si="13"/>
        <v>112</v>
      </c>
      <c r="D126" s="131">
        <f t="shared" si="17"/>
        <v>41365</v>
      </c>
      <c r="E126" s="132">
        <f t="shared" si="18"/>
        <v>221717.0948306266</v>
      </c>
      <c r="F126" s="195">
        <f t="shared" si="23"/>
        <v>1108.585474153133</v>
      </c>
      <c r="G126" s="134">
        <f t="shared" si="19"/>
        <v>450.2458912440402</v>
      </c>
      <c r="H126" s="134">
        <f t="shared" si="20"/>
        <v>221266.84893938256</v>
      </c>
      <c r="I126" s="134">
        <f t="shared" si="21"/>
        <v>135855.96186386584</v>
      </c>
      <c r="J126" s="138">
        <f t="shared" si="22"/>
        <v>38733.15106061754</v>
      </c>
      <c r="K126" s="196">
        <f t="shared" si="16"/>
        <v>0</v>
      </c>
      <c r="L126" s="136">
        <f t="shared" si="14"/>
        <v>0</v>
      </c>
      <c r="M126" s="136">
        <v>0</v>
      </c>
    </row>
    <row r="127" spans="2:13" ht="12.75">
      <c r="B127" s="137">
        <f t="shared" si="15"/>
      </c>
      <c r="C127" s="130">
        <f t="shared" si="13"/>
        <v>113</v>
      </c>
      <c r="D127" s="131">
        <f t="shared" si="17"/>
        <v>41395</v>
      </c>
      <c r="E127" s="132">
        <f t="shared" si="18"/>
        <v>221266.84893938256</v>
      </c>
      <c r="F127" s="195">
        <f t="shared" si="23"/>
        <v>1106.3342446969127</v>
      </c>
      <c r="G127" s="134">
        <f t="shared" si="19"/>
        <v>452.49712070026044</v>
      </c>
      <c r="H127" s="134">
        <f t="shared" si="20"/>
        <v>220814.3518186823</v>
      </c>
      <c r="I127" s="134">
        <f t="shared" si="21"/>
        <v>136962.29610856276</v>
      </c>
      <c r="J127" s="138">
        <f t="shared" si="22"/>
        <v>39185.6481813178</v>
      </c>
      <c r="K127" s="196">
        <f t="shared" si="16"/>
        <v>0</v>
      </c>
      <c r="L127" s="136">
        <f t="shared" si="14"/>
        <v>0</v>
      </c>
      <c r="M127" s="136">
        <v>0</v>
      </c>
    </row>
    <row r="128" spans="2:13" ht="12.75">
      <c r="B128" s="137">
        <f t="shared" si="15"/>
      </c>
      <c r="C128" s="130">
        <f t="shared" si="13"/>
        <v>114</v>
      </c>
      <c r="D128" s="131">
        <f t="shared" si="17"/>
        <v>41426</v>
      </c>
      <c r="E128" s="132">
        <f t="shared" si="18"/>
        <v>220814.3518186823</v>
      </c>
      <c r="F128" s="195">
        <f t="shared" si="23"/>
        <v>1104.0717590934116</v>
      </c>
      <c r="G128" s="134">
        <f t="shared" si="19"/>
        <v>454.75960630376153</v>
      </c>
      <c r="H128" s="134">
        <f t="shared" si="20"/>
        <v>220359.59221237854</v>
      </c>
      <c r="I128" s="134">
        <f t="shared" si="21"/>
        <v>138066.36786765617</v>
      </c>
      <c r="J128" s="138">
        <f t="shared" si="22"/>
        <v>39640.40778762157</v>
      </c>
      <c r="K128" s="196">
        <f t="shared" si="16"/>
        <v>0</v>
      </c>
      <c r="L128" s="136">
        <f t="shared" si="14"/>
        <v>0</v>
      </c>
      <c r="M128" s="136">
        <v>0</v>
      </c>
    </row>
    <row r="129" spans="2:13" ht="12.75">
      <c r="B129" s="137">
        <f t="shared" si="15"/>
      </c>
      <c r="C129" s="130">
        <f t="shared" si="13"/>
        <v>115</v>
      </c>
      <c r="D129" s="131">
        <f t="shared" si="17"/>
        <v>41456</v>
      </c>
      <c r="E129" s="132">
        <f t="shared" si="18"/>
        <v>220359.59221237854</v>
      </c>
      <c r="F129" s="195">
        <f t="shared" si="23"/>
        <v>1101.7979610618927</v>
      </c>
      <c r="G129" s="134">
        <f t="shared" si="19"/>
        <v>457.03340433528047</v>
      </c>
      <c r="H129" s="134">
        <f t="shared" si="20"/>
        <v>219902.55880804325</v>
      </c>
      <c r="I129" s="134">
        <f t="shared" si="21"/>
        <v>139168.16582871805</v>
      </c>
      <c r="J129" s="138">
        <f t="shared" si="22"/>
        <v>40097.441191956845</v>
      </c>
      <c r="K129" s="196">
        <f t="shared" si="16"/>
        <v>0</v>
      </c>
      <c r="L129" s="136">
        <f t="shared" si="14"/>
        <v>0</v>
      </c>
      <c r="M129" s="136">
        <v>0</v>
      </c>
    </row>
    <row r="130" spans="2:13" ht="12.75">
      <c r="B130" s="137">
        <f t="shared" si="15"/>
      </c>
      <c r="C130" s="130">
        <f t="shared" si="13"/>
        <v>116</v>
      </c>
      <c r="D130" s="131">
        <f t="shared" si="17"/>
        <v>41487</v>
      </c>
      <c r="E130" s="132">
        <f t="shared" si="18"/>
        <v>219902.55880804325</v>
      </c>
      <c r="F130" s="195">
        <f t="shared" si="23"/>
        <v>1099.5127940402162</v>
      </c>
      <c r="G130" s="134">
        <f t="shared" si="19"/>
        <v>459.3185713569569</v>
      </c>
      <c r="H130" s="134">
        <f t="shared" si="20"/>
        <v>219443.24023668628</v>
      </c>
      <c r="I130" s="134">
        <f t="shared" si="21"/>
        <v>140267.67862275825</v>
      </c>
      <c r="J130" s="138">
        <f t="shared" si="22"/>
        <v>40556.7597633138</v>
      </c>
      <c r="K130" s="196">
        <f t="shared" si="16"/>
        <v>0</v>
      </c>
      <c r="L130" s="136">
        <f t="shared" si="14"/>
        <v>0</v>
      </c>
      <c r="M130" s="136">
        <v>0</v>
      </c>
    </row>
    <row r="131" spans="2:13" ht="12.75">
      <c r="B131" s="137">
        <f t="shared" si="15"/>
      </c>
      <c r="C131" s="130">
        <f t="shared" si="13"/>
        <v>117</v>
      </c>
      <c r="D131" s="131">
        <f t="shared" si="17"/>
        <v>41518</v>
      </c>
      <c r="E131" s="132">
        <f t="shared" si="18"/>
        <v>219443.24023668628</v>
      </c>
      <c r="F131" s="195">
        <f t="shared" si="23"/>
        <v>1097.2162011834314</v>
      </c>
      <c r="G131" s="134">
        <f t="shared" si="19"/>
        <v>461.61516421374176</v>
      </c>
      <c r="H131" s="134">
        <f t="shared" si="20"/>
        <v>218981.62507247253</v>
      </c>
      <c r="I131" s="134">
        <f t="shared" si="21"/>
        <v>141364.8948239417</v>
      </c>
      <c r="J131" s="138">
        <f t="shared" si="22"/>
        <v>41018.37492752754</v>
      </c>
      <c r="K131" s="196">
        <f t="shared" si="16"/>
        <v>0</v>
      </c>
      <c r="L131" s="136">
        <f t="shared" si="14"/>
        <v>0</v>
      </c>
      <c r="M131" s="136">
        <v>0</v>
      </c>
    </row>
    <row r="132" spans="2:13" ht="12.75">
      <c r="B132" s="137">
        <f t="shared" si="15"/>
      </c>
      <c r="C132" s="130">
        <f t="shared" si="13"/>
        <v>118</v>
      </c>
      <c r="D132" s="131">
        <f t="shared" si="17"/>
        <v>41548</v>
      </c>
      <c r="E132" s="132">
        <f t="shared" si="18"/>
        <v>218981.62507247253</v>
      </c>
      <c r="F132" s="195">
        <f t="shared" si="23"/>
        <v>1094.9081253623626</v>
      </c>
      <c r="G132" s="134">
        <f t="shared" si="19"/>
        <v>463.92324003481053</v>
      </c>
      <c r="H132" s="134">
        <f t="shared" si="20"/>
        <v>218517.7018324377</v>
      </c>
      <c r="I132" s="134">
        <f t="shared" si="21"/>
        <v>142459.80294930405</v>
      </c>
      <c r="J132" s="138">
        <f t="shared" si="22"/>
        <v>41482.29816756235</v>
      </c>
      <c r="K132" s="196">
        <f t="shared" si="16"/>
        <v>0</v>
      </c>
      <c r="L132" s="136">
        <f t="shared" si="14"/>
        <v>0</v>
      </c>
      <c r="M132" s="136">
        <v>0</v>
      </c>
    </row>
    <row r="133" spans="2:13" ht="12.75">
      <c r="B133" s="137">
        <f t="shared" si="15"/>
      </c>
      <c r="C133" s="130">
        <f t="shared" si="13"/>
        <v>119</v>
      </c>
      <c r="D133" s="131">
        <f t="shared" si="17"/>
        <v>41579</v>
      </c>
      <c r="E133" s="132">
        <f t="shared" si="18"/>
        <v>218517.7018324377</v>
      </c>
      <c r="F133" s="195">
        <f t="shared" si="23"/>
        <v>1092.5885091621885</v>
      </c>
      <c r="G133" s="134">
        <f t="shared" si="19"/>
        <v>466.24285623498463</v>
      </c>
      <c r="H133" s="134">
        <f t="shared" si="20"/>
        <v>218051.45897620273</v>
      </c>
      <c r="I133" s="134">
        <f t="shared" si="21"/>
        <v>143552.39145846624</v>
      </c>
      <c r="J133" s="138">
        <f t="shared" si="22"/>
        <v>41948.541023797334</v>
      </c>
      <c r="K133" s="196">
        <f t="shared" si="16"/>
        <v>0</v>
      </c>
      <c r="L133" s="136">
        <f t="shared" si="14"/>
        <v>0</v>
      </c>
      <c r="M133" s="136">
        <v>0</v>
      </c>
    </row>
    <row r="134" spans="2:13" ht="12.75">
      <c r="B134" s="137">
        <f t="shared" si="15"/>
      </c>
      <c r="C134" s="130">
        <f t="shared" si="13"/>
        <v>120</v>
      </c>
      <c r="D134" s="131">
        <f t="shared" si="17"/>
        <v>41609</v>
      </c>
      <c r="E134" s="134">
        <f t="shared" si="18"/>
        <v>218051.45897620273</v>
      </c>
      <c r="F134" s="195">
        <f t="shared" si="23"/>
        <v>1090.2572948810136</v>
      </c>
      <c r="G134" s="134">
        <f t="shared" si="19"/>
        <v>468.5740705161595</v>
      </c>
      <c r="H134" s="134">
        <f t="shared" si="20"/>
        <v>217582.88490568657</v>
      </c>
      <c r="I134" s="134">
        <f t="shared" si="21"/>
        <v>144642.64875334725</v>
      </c>
      <c r="J134" s="138">
        <f t="shared" si="22"/>
        <v>42417.11509431349</v>
      </c>
      <c r="K134" s="196">
        <f t="shared" si="16"/>
        <v>0</v>
      </c>
      <c r="L134" s="136">
        <f t="shared" si="14"/>
        <v>0</v>
      </c>
      <c r="M134" s="136">
        <v>0</v>
      </c>
    </row>
    <row r="135" spans="2:13" ht="12.75">
      <c r="B135" s="137" t="str">
        <f t="shared" si="15"/>
        <v>Year 11</v>
      </c>
      <c r="C135" s="130">
        <f t="shared" si="13"/>
        <v>121</v>
      </c>
      <c r="D135" s="131">
        <f t="shared" si="17"/>
        <v>41640</v>
      </c>
      <c r="E135" s="134">
        <f t="shared" si="18"/>
        <v>217582.88490568657</v>
      </c>
      <c r="F135" s="195">
        <f t="shared" si="23"/>
        <v>1087.9144245284328</v>
      </c>
      <c r="G135" s="134">
        <f t="shared" si="19"/>
        <v>470.9169408687403</v>
      </c>
      <c r="H135" s="134">
        <f t="shared" si="20"/>
        <v>217111.96796481783</v>
      </c>
      <c r="I135" s="134">
        <f t="shared" si="21"/>
        <v>145730.56317787568</v>
      </c>
      <c r="J135" s="138">
        <f t="shared" si="22"/>
        <v>42888.03203518223</v>
      </c>
      <c r="K135" s="196">
        <f t="shared" si="16"/>
        <v>0</v>
      </c>
      <c r="L135" s="136">
        <f t="shared" si="14"/>
        <v>0</v>
      </c>
      <c r="M135" s="136">
        <v>0</v>
      </c>
    </row>
    <row r="136" spans="2:13" ht="12.75">
      <c r="B136" s="137">
        <f t="shared" si="15"/>
      </c>
      <c r="C136" s="130">
        <f t="shared" si="13"/>
        <v>122</v>
      </c>
      <c r="D136" s="131">
        <f t="shared" si="17"/>
        <v>41671</v>
      </c>
      <c r="E136" s="134">
        <f t="shared" si="18"/>
        <v>217111.96796481783</v>
      </c>
      <c r="F136" s="195">
        <f t="shared" si="23"/>
        <v>1085.559839824089</v>
      </c>
      <c r="G136" s="134">
        <f t="shared" si="19"/>
        <v>473.2715255730841</v>
      </c>
      <c r="H136" s="134">
        <f t="shared" si="20"/>
        <v>216638.69643924476</v>
      </c>
      <c r="I136" s="134">
        <f t="shared" si="21"/>
        <v>146816.12301769978</v>
      </c>
      <c r="J136" s="138">
        <f t="shared" si="22"/>
        <v>43361.30356075532</v>
      </c>
      <c r="K136" s="196">
        <f t="shared" si="16"/>
        <v>0</v>
      </c>
      <c r="L136" s="136">
        <f t="shared" si="14"/>
        <v>0</v>
      </c>
      <c r="M136" s="136">
        <v>0</v>
      </c>
    </row>
    <row r="137" spans="2:13" ht="12.75">
      <c r="B137" s="137">
        <f t="shared" si="15"/>
      </c>
      <c r="C137" s="130">
        <f t="shared" si="13"/>
        <v>123</v>
      </c>
      <c r="D137" s="131">
        <f t="shared" si="17"/>
        <v>41699</v>
      </c>
      <c r="E137" s="134">
        <f t="shared" si="18"/>
        <v>216638.69643924476</v>
      </c>
      <c r="F137" s="195">
        <f t="shared" si="23"/>
        <v>1083.1934821962238</v>
      </c>
      <c r="G137" s="134">
        <f t="shared" si="19"/>
        <v>475.6378832009493</v>
      </c>
      <c r="H137" s="134">
        <f t="shared" si="20"/>
        <v>216163.0585560438</v>
      </c>
      <c r="I137" s="134">
        <f t="shared" si="21"/>
        <v>147899.316499896</v>
      </c>
      <c r="J137" s="138">
        <f t="shared" si="22"/>
        <v>43836.94144395627</v>
      </c>
      <c r="K137" s="196">
        <f t="shared" si="16"/>
        <v>0</v>
      </c>
      <c r="L137" s="136">
        <f t="shared" si="14"/>
        <v>0</v>
      </c>
      <c r="M137" s="136">
        <v>0</v>
      </c>
    </row>
    <row r="138" spans="2:13" ht="12.75">
      <c r="B138" s="137">
        <f t="shared" si="15"/>
      </c>
      <c r="C138" s="130">
        <f aca="true" t="shared" si="24" ref="C138:C201">C137+1</f>
        <v>124</v>
      </c>
      <c r="D138" s="131">
        <f t="shared" si="17"/>
        <v>41730</v>
      </c>
      <c r="E138" s="134">
        <f t="shared" si="18"/>
        <v>216163.0585560438</v>
      </c>
      <c r="F138" s="195">
        <f t="shared" si="23"/>
        <v>1080.8152927802191</v>
      </c>
      <c r="G138" s="134">
        <f t="shared" si="19"/>
        <v>478.01607261695403</v>
      </c>
      <c r="H138" s="134">
        <f t="shared" si="20"/>
        <v>215685.04248342686</v>
      </c>
      <c r="I138" s="134">
        <f t="shared" si="21"/>
        <v>148980.13179267623</v>
      </c>
      <c r="J138" s="138">
        <f t="shared" si="22"/>
        <v>44314.957516573224</v>
      </c>
      <c r="K138" s="196">
        <f t="shared" si="16"/>
        <v>0</v>
      </c>
      <c r="L138" s="136">
        <f t="shared" si="14"/>
        <v>0</v>
      </c>
      <c r="M138" s="136">
        <v>0</v>
      </c>
    </row>
    <row r="139" spans="2:13" ht="12.75">
      <c r="B139" s="137">
        <f t="shared" si="15"/>
      </c>
      <c r="C139" s="130">
        <f t="shared" si="24"/>
        <v>125</v>
      </c>
      <c r="D139" s="131">
        <f t="shared" si="17"/>
        <v>41760</v>
      </c>
      <c r="E139" s="134">
        <f t="shared" si="18"/>
        <v>215685.04248342686</v>
      </c>
      <c r="F139" s="195">
        <f t="shared" si="23"/>
        <v>1078.4252124171344</v>
      </c>
      <c r="G139" s="134">
        <f t="shared" si="19"/>
        <v>480.40615298003877</v>
      </c>
      <c r="H139" s="134">
        <f t="shared" si="20"/>
        <v>215204.6363304468</v>
      </c>
      <c r="I139" s="134">
        <f t="shared" si="21"/>
        <v>150058.55700509337</v>
      </c>
      <c r="J139" s="138">
        <f t="shared" si="22"/>
        <v>44795.36366955326</v>
      </c>
      <c r="K139" s="196">
        <f t="shared" si="16"/>
        <v>0</v>
      </c>
      <c r="L139" s="136">
        <f aca="true" t="shared" si="25" ref="L139:L202">L138</f>
        <v>0</v>
      </c>
      <c r="M139" s="136">
        <v>0</v>
      </c>
    </row>
    <row r="140" spans="2:13" ht="12.75">
      <c r="B140" s="137">
        <f t="shared" si="15"/>
      </c>
      <c r="C140" s="130">
        <f t="shared" si="24"/>
        <v>126</v>
      </c>
      <c r="D140" s="131">
        <f t="shared" si="17"/>
        <v>41791</v>
      </c>
      <c r="E140" s="134">
        <f t="shared" si="18"/>
        <v>215204.6363304468</v>
      </c>
      <c r="F140" s="195">
        <f t="shared" si="23"/>
        <v>1076.0231816522341</v>
      </c>
      <c r="G140" s="134">
        <f t="shared" si="19"/>
        <v>482.808183744939</v>
      </c>
      <c r="H140" s="134">
        <f t="shared" si="20"/>
        <v>214721.82814670188</v>
      </c>
      <c r="I140" s="134">
        <f t="shared" si="21"/>
        <v>151134.58018674562</v>
      </c>
      <c r="J140" s="138">
        <f t="shared" si="22"/>
        <v>45278.171853298205</v>
      </c>
      <c r="K140" s="196">
        <f t="shared" si="16"/>
        <v>0</v>
      </c>
      <c r="L140" s="136">
        <f t="shared" si="25"/>
        <v>0</v>
      </c>
      <c r="M140" s="136">
        <v>0</v>
      </c>
    </row>
    <row r="141" spans="2:13" ht="12.75">
      <c r="B141" s="137">
        <f t="shared" si="15"/>
      </c>
      <c r="C141" s="130">
        <f t="shared" si="24"/>
        <v>127</v>
      </c>
      <c r="D141" s="131">
        <f t="shared" si="17"/>
        <v>41821</v>
      </c>
      <c r="E141" s="134">
        <f t="shared" si="18"/>
        <v>214721.82814670188</v>
      </c>
      <c r="F141" s="195">
        <f t="shared" si="23"/>
        <v>1073.6091407335093</v>
      </c>
      <c r="G141" s="134">
        <f t="shared" si="19"/>
        <v>485.22222466366384</v>
      </c>
      <c r="H141" s="134">
        <f t="shared" si="20"/>
        <v>214236.60592203823</v>
      </c>
      <c r="I141" s="134">
        <f t="shared" si="21"/>
        <v>152208.18932747914</v>
      </c>
      <c r="J141" s="138">
        <f t="shared" si="22"/>
        <v>45763.39407796187</v>
      </c>
      <c r="K141" s="196">
        <f t="shared" si="16"/>
        <v>0</v>
      </c>
      <c r="L141" s="136">
        <f t="shared" si="25"/>
        <v>0</v>
      </c>
      <c r="M141" s="136">
        <v>0</v>
      </c>
    </row>
    <row r="142" spans="2:13" ht="12.75">
      <c r="B142" s="137">
        <f t="shared" si="15"/>
      </c>
      <c r="C142" s="130">
        <f t="shared" si="24"/>
        <v>128</v>
      </c>
      <c r="D142" s="131">
        <f t="shared" si="17"/>
        <v>41852</v>
      </c>
      <c r="E142" s="134">
        <f t="shared" si="18"/>
        <v>214236.60592203823</v>
      </c>
      <c r="F142" s="195">
        <f t="shared" si="23"/>
        <v>1071.1830296101912</v>
      </c>
      <c r="G142" s="134">
        <f t="shared" si="19"/>
        <v>487.648335786982</v>
      </c>
      <c r="H142" s="134">
        <f t="shared" si="20"/>
        <v>213748.95758625126</v>
      </c>
      <c r="I142" s="134">
        <f t="shared" si="21"/>
        <v>153279.37235708933</v>
      </c>
      <c r="J142" s="138">
        <f t="shared" si="22"/>
        <v>46251.04241374885</v>
      </c>
      <c r="K142" s="196">
        <f t="shared" si="16"/>
        <v>0</v>
      </c>
      <c r="L142" s="136">
        <f t="shared" si="25"/>
        <v>0</v>
      </c>
      <c r="M142" s="136">
        <v>0</v>
      </c>
    </row>
    <row r="143" spans="2:13" ht="12.75">
      <c r="B143" s="137">
        <f aca="true" t="shared" si="26" ref="B143:B206">IF((C143-1)/12=TRUNC((C143-1)/12),"Year "&amp;(C143-1)/12+1,"")</f>
      </c>
      <c r="C143" s="130">
        <f t="shared" si="24"/>
        <v>129</v>
      </c>
      <c r="D143" s="131">
        <f t="shared" si="17"/>
        <v>41883</v>
      </c>
      <c r="E143" s="134">
        <f t="shared" si="18"/>
        <v>213748.95758625126</v>
      </c>
      <c r="F143" s="195">
        <f t="shared" si="23"/>
        <v>1068.7447879312563</v>
      </c>
      <c r="G143" s="134">
        <f t="shared" si="19"/>
        <v>490.0865774659169</v>
      </c>
      <c r="H143" s="134">
        <f t="shared" si="20"/>
        <v>213258.87100878535</v>
      </c>
      <c r="I143" s="134">
        <f t="shared" si="21"/>
        <v>154348.1171450206</v>
      </c>
      <c r="J143" s="138">
        <f t="shared" si="22"/>
        <v>46741.12899121477</v>
      </c>
      <c r="K143" s="196">
        <f aca="true" t="shared" si="27" ref="K143:K206">L143+M143</f>
        <v>0</v>
      </c>
      <c r="L143" s="136">
        <f t="shared" si="25"/>
        <v>0</v>
      </c>
      <c r="M143" s="136">
        <v>0</v>
      </c>
    </row>
    <row r="144" spans="2:13" ht="12.75">
      <c r="B144" s="137">
        <f t="shared" si="26"/>
      </c>
      <c r="C144" s="130">
        <f t="shared" si="24"/>
        <v>130</v>
      </c>
      <c r="D144" s="131">
        <f aca="true" t="shared" si="28" ref="D144:D207">DATE(YEAR(D143),MONTH(D143)+1,DAY(D143))</f>
        <v>41913</v>
      </c>
      <c r="E144" s="134">
        <f aca="true" t="shared" si="29" ref="E144:E207">IF(no_of_payments&gt;=C144,H143,0)</f>
        <v>213258.87100878535</v>
      </c>
      <c r="F144" s="195">
        <f t="shared" si="23"/>
        <v>1066.2943550439268</v>
      </c>
      <c r="G144" s="134">
        <f aca="true" t="shared" si="30" ref="G144:G207">IF(H143-G143&lt;=0,H143,$E$10-F144)</f>
        <v>492.5370103532464</v>
      </c>
      <c r="H144" s="134">
        <f aca="true" t="shared" si="31" ref="H144:H207">IF(E144-G144-K143&gt;=0,E144-G144-K143,0)</f>
        <v>212766.33399843212</v>
      </c>
      <c r="I144" s="134">
        <f aca="true" t="shared" si="32" ref="I144:I207">I143+F144</f>
        <v>155414.41150006454</v>
      </c>
      <c r="J144" s="138">
        <f aca="true" t="shared" si="33" ref="J144:J207">J143+G144</f>
        <v>47233.66600156802</v>
      </c>
      <c r="K144" s="196">
        <f t="shared" si="27"/>
        <v>0</v>
      </c>
      <c r="L144" s="136">
        <f t="shared" si="25"/>
        <v>0</v>
      </c>
      <c r="M144" s="136">
        <v>0</v>
      </c>
    </row>
    <row r="145" spans="2:13" ht="12.75">
      <c r="B145" s="137">
        <f t="shared" si="26"/>
      </c>
      <c r="C145" s="130">
        <f t="shared" si="24"/>
        <v>131</v>
      </c>
      <c r="D145" s="131">
        <f t="shared" si="28"/>
        <v>41944</v>
      </c>
      <c r="E145" s="134">
        <f t="shared" si="29"/>
        <v>212766.33399843212</v>
      </c>
      <c r="F145" s="195">
        <f t="shared" si="23"/>
        <v>1063.8316699921606</v>
      </c>
      <c r="G145" s="134">
        <f t="shared" si="30"/>
        <v>494.9996954050125</v>
      </c>
      <c r="H145" s="134">
        <f t="shared" si="31"/>
        <v>212271.3343030271</v>
      </c>
      <c r="I145" s="134">
        <f t="shared" si="32"/>
        <v>156478.2431700567</v>
      </c>
      <c r="J145" s="138">
        <f t="shared" si="33"/>
        <v>47728.66569697303</v>
      </c>
      <c r="K145" s="196">
        <f t="shared" si="27"/>
        <v>0</v>
      </c>
      <c r="L145" s="136">
        <f t="shared" si="25"/>
        <v>0</v>
      </c>
      <c r="M145" s="136">
        <v>0</v>
      </c>
    </row>
    <row r="146" spans="2:13" ht="12.75">
      <c r="B146" s="137">
        <f t="shared" si="26"/>
      </c>
      <c r="C146" s="130">
        <f t="shared" si="24"/>
        <v>132</v>
      </c>
      <c r="D146" s="131">
        <f t="shared" si="28"/>
        <v>41974</v>
      </c>
      <c r="E146" s="134">
        <f t="shared" si="29"/>
        <v>212271.3343030271</v>
      </c>
      <c r="F146" s="195">
        <f t="shared" si="23"/>
        <v>1061.3566715151355</v>
      </c>
      <c r="G146" s="134">
        <f t="shared" si="30"/>
        <v>497.4746938820376</v>
      </c>
      <c r="H146" s="134">
        <f t="shared" si="31"/>
        <v>211773.85960914506</v>
      </c>
      <c r="I146" s="134">
        <f t="shared" si="32"/>
        <v>157539.59984157182</v>
      </c>
      <c r="J146" s="138">
        <f t="shared" si="33"/>
        <v>48226.14039085507</v>
      </c>
      <c r="K146" s="196">
        <f t="shared" si="27"/>
        <v>0</v>
      </c>
      <c r="L146" s="136">
        <f t="shared" si="25"/>
        <v>0</v>
      </c>
      <c r="M146" s="136">
        <v>0</v>
      </c>
    </row>
    <row r="147" spans="2:13" ht="12.75">
      <c r="B147" s="137" t="str">
        <f t="shared" si="26"/>
        <v>Year 12</v>
      </c>
      <c r="C147" s="130">
        <f t="shared" si="24"/>
        <v>133</v>
      </c>
      <c r="D147" s="131">
        <f t="shared" si="28"/>
        <v>42005</v>
      </c>
      <c r="E147" s="134">
        <f t="shared" si="29"/>
        <v>211773.85960914506</v>
      </c>
      <c r="F147" s="195">
        <f t="shared" si="23"/>
        <v>1058.8692980457254</v>
      </c>
      <c r="G147" s="134">
        <f t="shared" si="30"/>
        <v>499.9620673514478</v>
      </c>
      <c r="H147" s="134">
        <f t="shared" si="31"/>
        <v>211273.89754179362</v>
      </c>
      <c r="I147" s="134">
        <f t="shared" si="32"/>
        <v>158598.46913961755</v>
      </c>
      <c r="J147" s="138">
        <f t="shared" si="33"/>
        <v>48726.10245820652</v>
      </c>
      <c r="K147" s="196">
        <f t="shared" si="27"/>
        <v>0</v>
      </c>
      <c r="L147" s="136">
        <f t="shared" si="25"/>
        <v>0</v>
      </c>
      <c r="M147" s="136">
        <v>0</v>
      </c>
    </row>
    <row r="148" spans="2:13" ht="12.75">
      <c r="B148" s="137">
        <f t="shared" si="26"/>
      </c>
      <c r="C148" s="130">
        <f t="shared" si="24"/>
        <v>134</v>
      </c>
      <c r="D148" s="131">
        <f t="shared" si="28"/>
        <v>42036</v>
      </c>
      <c r="E148" s="134">
        <f t="shared" si="29"/>
        <v>211273.89754179362</v>
      </c>
      <c r="F148" s="195">
        <f t="shared" si="23"/>
        <v>1056.369487708968</v>
      </c>
      <c r="G148" s="134">
        <f t="shared" si="30"/>
        <v>502.46187768820505</v>
      </c>
      <c r="H148" s="134">
        <f t="shared" si="31"/>
        <v>210771.4356641054</v>
      </c>
      <c r="I148" s="134">
        <f t="shared" si="32"/>
        <v>159654.8386273265</v>
      </c>
      <c r="J148" s="138">
        <f t="shared" si="33"/>
        <v>49228.56433589473</v>
      </c>
      <c r="K148" s="196">
        <f t="shared" si="27"/>
        <v>0</v>
      </c>
      <c r="L148" s="136">
        <f t="shared" si="25"/>
        <v>0</v>
      </c>
      <c r="M148" s="136">
        <v>0</v>
      </c>
    </row>
    <row r="149" spans="2:13" ht="12.75">
      <c r="B149" s="137">
        <f t="shared" si="26"/>
      </c>
      <c r="C149" s="130">
        <f t="shared" si="24"/>
        <v>135</v>
      </c>
      <c r="D149" s="131">
        <f t="shared" si="28"/>
        <v>42064</v>
      </c>
      <c r="E149" s="134">
        <f t="shared" si="29"/>
        <v>210771.4356641054</v>
      </c>
      <c r="F149" s="195">
        <f t="shared" si="23"/>
        <v>1053.857178320527</v>
      </c>
      <c r="G149" s="134">
        <f t="shared" si="30"/>
        <v>504.9741870766461</v>
      </c>
      <c r="H149" s="134">
        <f t="shared" si="31"/>
        <v>210266.46147702876</v>
      </c>
      <c r="I149" s="134">
        <f t="shared" si="32"/>
        <v>160708.69580564703</v>
      </c>
      <c r="J149" s="138">
        <f t="shared" si="33"/>
        <v>49733.53852297137</v>
      </c>
      <c r="K149" s="196">
        <f t="shared" si="27"/>
        <v>0</v>
      </c>
      <c r="L149" s="136">
        <f t="shared" si="25"/>
        <v>0</v>
      </c>
      <c r="M149" s="136">
        <v>0</v>
      </c>
    </row>
    <row r="150" spans="2:13" ht="12.75">
      <c r="B150" s="137">
        <f t="shared" si="26"/>
      </c>
      <c r="C150" s="130">
        <f t="shared" si="24"/>
        <v>136</v>
      </c>
      <c r="D150" s="131">
        <f t="shared" si="28"/>
        <v>42095</v>
      </c>
      <c r="E150" s="134">
        <f t="shared" si="29"/>
        <v>210266.46147702876</v>
      </c>
      <c r="F150" s="195">
        <f t="shared" si="23"/>
        <v>1051.3323073851438</v>
      </c>
      <c r="G150" s="134">
        <f t="shared" si="30"/>
        <v>507.4990580120293</v>
      </c>
      <c r="H150" s="134">
        <f t="shared" si="31"/>
        <v>209758.96241901672</v>
      </c>
      <c r="I150" s="134">
        <f t="shared" si="32"/>
        <v>161760.02811303217</v>
      </c>
      <c r="J150" s="138">
        <f t="shared" si="33"/>
        <v>50241.0375809834</v>
      </c>
      <c r="K150" s="196">
        <f t="shared" si="27"/>
        <v>0</v>
      </c>
      <c r="L150" s="136">
        <f t="shared" si="25"/>
        <v>0</v>
      </c>
      <c r="M150" s="136">
        <v>0</v>
      </c>
    </row>
    <row r="151" spans="2:13" ht="12.75">
      <c r="B151" s="137">
        <f t="shared" si="26"/>
      </c>
      <c r="C151" s="130">
        <f t="shared" si="24"/>
        <v>137</v>
      </c>
      <c r="D151" s="131">
        <f t="shared" si="28"/>
        <v>42125</v>
      </c>
      <c r="E151" s="134">
        <f t="shared" si="29"/>
        <v>209758.96241901672</v>
      </c>
      <c r="F151" s="195">
        <f t="shared" si="23"/>
        <v>1048.7948120950837</v>
      </c>
      <c r="G151" s="134">
        <f t="shared" si="30"/>
        <v>510.0365533020895</v>
      </c>
      <c r="H151" s="134">
        <f t="shared" si="31"/>
        <v>209248.92586571464</v>
      </c>
      <c r="I151" s="134">
        <f t="shared" si="32"/>
        <v>162808.82292512726</v>
      </c>
      <c r="J151" s="138">
        <f t="shared" si="33"/>
        <v>50751.07413428549</v>
      </c>
      <c r="K151" s="196">
        <f t="shared" si="27"/>
        <v>0</v>
      </c>
      <c r="L151" s="136">
        <f t="shared" si="25"/>
        <v>0</v>
      </c>
      <c r="M151" s="136">
        <v>0</v>
      </c>
    </row>
    <row r="152" spans="2:13" ht="12.75">
      <c r="B152" s="137">
        <f t="shared" si="26"/>
      </c>
      <c r="C152" s="130">
        <f t="shared" si="24"/>
        <v>138</v>
      </c>
      <c r="D152" s="131">
        <f t="shared" si="28"/>
        <v>42156</v>
      </c>
      <c r="E152" s="134">
        <f t="shared" si="29"/>
        <v>209248.92586571464</v>
      </c>
      <c r="F152" s="195">
        <f t="shared" si="23"/>
        <v>1046.2446293285732</v>
      </c>
      <c r="G152" s="134">
        <f t="shared" si="30"/>
        <v>512.5867360686</v>
      </c>
      <c r="H152" s="134">
        <f t="shared" si="31"/>
        <v>208736.33912964605</v>
      </c>
      <c r="I152" s="134">
        <f t="shared" si="32"/>
        <v>163855.06755445583</v>
      </c>
      <c r="J152" s="138">
        <f t="shared" si="33"/>
        <v>51263.66087035409</v>
      </c>
      <c r="K152" s="196">
        <f t="shared" si="27"/>
        <v>0</v>
      </c>
      <c r="L152" s="136">
        <f t="shared" si="25"/>
        <v>0</v>
      </c>
      <c r="M152" s="136">
        <v>0</v>
      </c>
    </row>
    <row r="153" spans="2:13" ht="12.75">
      <c r="B153" s="137">
        <f t="shared" si="26"/>
      </c>
      <c r="C153" s="130">
        <f t="shared" si="24"/>
        <v>139</v>
      </c>
      <c r="D153" s="131">
        <f t="shared" si="28"/>
        <v>42186</v>
      </c>
      <c r="E153" s="134">
        <f t="shared" si="29"/>
        <v>208736.33912964605</v>
      </c>
      <c r="F153" s="195">
        <f t="shared" si="23"/>
        <v>1043.6816956482303</v>
      </c>
      <c r="G153" s="134">
        <f t="shared" si="30"/>
        <v>515.1496697489429</v>
      </c>
      <c r="H153" s="134">
        <f t="shared" si="31"/>
        <v>208221.1894598971</v>
      </c>
      <c r="I153" s="134">
        <f t="shared" si="32"/>
        <v>164898.74925010407</v>
      </c>
      <c r="J153" s="138">
        <f t="shared" si="33"/>
        <v>51778.81054010303</v>
      </c>
      <c r="K153" s="196">
        <f t="shared" si="27"/>
        <v>0</v>
      </c>
      <c r="L153" s="136">
        <f t="shared" si="25"/>
        <v>0</v>
      </c>
      <c r="M153" s="136">
        <v>0</v>
      </c>
    </row>
    <row r="154" spans="2:13" ht="12.75">
      <c r="B154" s="137">
        <f t="shared" si="26"/>
      </c>
      <c r="C154" s="130">
        <f t="shared" si="24"/>
        <v>140</v>
      </c>
      <c r="D154" s="131">
        <f t="shared" si="28"/>
        <v>42217</v>
      </c>
      <c r="E154" s="134">
        <f t="shared" si="29"/>
        <v>208221.1894598971</v>
      </c>
      <c r="F154" s="195">
        <f t="shared" si="23"/>
        <v>1041.1059472994855</v>
      </c>
      <c r="G154" s="134">
        <f t="shared" si="30"/>
        <v>517.7254180976877</v>
      </c>
      <c r="H154" s="134">
        <f t="shared" si="31"/>
        <v>207703.46404179942</v>
      </c>
      <c r="I154" s="134">
        <f t="shared" si="32"/>
        <v>165939.85519740355</v>
      </c>
      <c r="J154" s="138">
        <f t="shared" si="33"/>
        <v>52296.53595820072</v>
      </c>
      <c r="K154" s="196">
        <f t="shared" si="27"/>
        <v>0</v>
      </c>
      <c r="L154" s="136">
        <f t="shared" si="25"/>
        <v>0</v>
      </c>
      <c r="M154" s="136">
        <v>0</v>
      </c>
    </row>
    <row r="155" spans="2:13" ht="12.75">
      <c r="B155" s="137">
        <f t="shared" si="26"/>
      </c>
      <c r="C155" s="130">
        <f t="shared" si="24"/>
        <v>141</v>
      </c>
      <c r="D155" s="131">
        <f t="shared" si="28"/>
        <v>42248</v>
      </c>
      <c r="E155" s="134">
        <f t="shared" si="29"/>
        <v>207703.46404179942</v>
      </c>
      <c r="F155" s="195">
        <f t="shared" si="23"/>
        <v>1038.517320208997</v>
      </c>
      <c r="G155" s="134">
        <f t="shared" si="30"/>
        <v>520.3140451881761</v>
      </c>
      <c r="H155" s="134">
        <f t="shared" si="31"/>
        <v>207183.14999661126</v>
      </c>
      <c r="I155" s="134">
        <f t="shared" si="32"/>
        <v>166978.37251761256</v>
      </c>
      <c r="J155" s="138">
        <f t="shared" si="33"/>
        <v>52816.8500033889</v>
      </c>
      <c r="K155" s="196">
        <f t="shared" si="27"/>
        <v>0</v>
      </c>
      <c r="L155" s="136">
        <f t="shared" si="25"/>
        <v>0</v>
      </c>
      <c r="M155" s="136">
        <v>0</v>
      </c>
    </row>
    <row r="156" spans="2:13" ht="12.75">
      <c r="B156" s="137">
        <f t="shared" si="26"/>
      </c>
      <c r="C156" s="130">
        <f t="shared" si="24"/>
        <v>142</v>
      </c>
      <c r="D156" s="131">
        <f t="shared" si="28"/>
        <v>42278</v>
      </c>
      <c r="E156" s="134">
        <f t="shared" si="29"/>
        <v>207183.14999661126</v>
      </c>
      <c r="F156" s="195">
        <f t="shared" si="23"/>
        <v>1035.9157499830562</v>
      </c>
      <c r="G156" s="134">
        <f t="shared" si="30"/>
        <v>522.9156154141169</v>
      </c>
      <c r="H156" s="134">
        <f t="shared" si="31"/>
        <v>206660.23438119714</v>
      </c>
      <c r="I156" s="134">
        <f t="shared" si="32"/>
        <v>168014.2882675956</v>
      </c>
      <c r="J156" s="138">
        <f t="shared" si="33"/>
        <v>53339.765618803016</v>
      </c>
      <c r="K156" s="196">
        <f t="shared" si="27"/>
        <v>0</v>
      </c>
      <c r="L156" s="136">
        <f t="shared" si="25"/>
        <v>0</v>
      </c>
      <c r="M156" s="136">
        <v>0</v>
      </c>
    </row>
    <row r="157" spans="2:13" ht="12.75">
      <c r="B157" s="137">
        <f t="shared" si="26"/>
      </c>
      <c r="C157" s="130">
        <f t="shared" si="24"/>
        <v>143</v>
      </c>
      <c r="D157" s="131">
        <f t="shared" si="28"/>
        <v>42309</v>
      </c>
      <c r="E157" s="134">
        <f t="shared" si="29"/>
        <v>206660.23438119714</v>
      </c>
      <c r="F157" s="195">
        <f t="shared" si="23"/>
        <v>1033.3011719059857</v>
      </c>
      <c r="G157" s="134">
        <f t="shared" si="30"/>
        <v>525.5301934911874</v>
      </c>
      <c r="H157" s="134">
        <f t="shared" si="31"/>
        <v>206134.70418770594</v>
      </c>
      <c r="I157" s="134">
        <f t="shared" si="32"/>
        <v>169047.58943950158</v>
      </c>
      <c r="J157" s="138">
        <f t="shared" si="33"/>
        <v>53865.2958122942</v>
      </c>
      <c r="K157" s="196">
        <f t="shared" si="27"/>
        <v>0</v>
      </c>
      <c r="L157" s="136">
        <f t="shared" si="25"/>
        <v>0</v>
      </c>
      <c r="M157" s="136">
        <v>0</v>
      </c>
    </row>
    <row r="158" spans="2:13" ht="12.75">
      <c r="B158" s="137">
        <f t="shared" si="26"/>
      </c>
      <c r="C158" s="130">
        <f t="shared" si="24"/>
        <v>144</v>
      </c>
      <c r="D158" s="131">
        <f t="shared" si="28"/>
        <v>42339</v>
      </c>
      <c r="E158" s="134">
        <f t="shared" si="29"/>
        <v>206134.70418770594</v>
      </c>
      <c r="F158" s="195">
        <f t="shared" si="23"/>
        <v>1030.6735209385297</v>
      </c>
      <c r="G158" s="134">
        <f t="shared" si="30"/>
        <v>528.1578444586435</v>
      </c>
      <c r="H158" s="134">
        <f t="shared" si="31"/>
        <v>205606.5463432473</v>
      </c>
      <c r="I158" s="134">
        <f t="shared" si="32"/>
        <v>170078.2629604401</v>
      </c>
      <c r="J158" s="138">
        <f t="shared" si="33"/>
        <v>54393.45365675284</v>
      </c>
      <c r="K158" s="196">
        <f t="shared" si="27"/>
        <v>0</v>
      </c>
      <c r="L158" s="136">
        <f t="shared" si="25"/>
        <v>0</v>
      </c>
      <c r="M158" s="136">
        <v>0</v>
      </c>
    </row>
    <row r="159" spans="2:13" ht="12.75">
      <c r="B159" s="137" t="str">
        <f t="shared" si="26"/>
        <v>Year 13</v>
      </c>
      <c r="C159" s="130">
        <f t="shared" si="24"/>
        <v>145</v>
      </c>
      <c r="D159" s="131">
        <f t="shared" si="28"/>
        <v>42370</v>
      </c>
      <c r="E159" s="134">
        <f t="shared" si="29"/>
        <v>205606.5463432473</v>
      </c>
      <c r="F159" s="195">
        <f t="shared" si="23"/>
        <v>1028.0327317162364</v>
      </c>
      <c r="G159" s="134">
        <f t="shared" si="30"/>
        <v>530.7986336809367</v>
      </c>
      <c r="H159" s="134">
        <f t="shared" si="31"/>
        <v>205075.74770956635</v>
      </c>
      <c r="I159" s="134">
        <f t="shared" si="32"/>
        <v>171106.29569215633</v>
      </c>
      <c r="J159" s="138">
        <f t="shared" si="33"/>
        <v>54924.252290433775</v>
      </c>
      <c r="K159" s="196">
        <f t="shared" si="27"/>
        <v>0</v>
      </c>
      <c r="L159" s="136">
        <f t="shared" si="25"/>
        <v>0</v>
      </c>
      <c r="M159" s="136">
        <v>0</v>
      </c>
    </row>
    <row r="160" spans="2:13" ht="12.75">
      <c r="B160" s="137">
        <f t="shared" si="26"/>
      </c>
      <c r="C160" s="130">
        <f t="shared" si="24"/>
        <v>146</v>
      </c>
      <c r="D160" s="131">
        <f t="shared" si="28"/>
        <v>42401</v>
      </c>
      <c r="E160" s="134">
        <f t="shared" si="29"/>
        <v>205075.74770956635</v>
      </c>
      <c r="F160" s="195">
        <f t="shared" si="23"/>
        <v>1025.3787385478317</v>
      </c>
      <c r="G160" s="134">
        <f t="shared" si="30"/>
        <v>533.4526268493414</v>
      </c>
      <c r="H160" s="134">
        <f t="shared" si="31"/>
        <v>204542.295082717</v>
      </c>
      <c r="I160" s="134">
        <f t="shared" si="32"/>
        <v>172131.67443070415</v>
      </c>
      <c r="J160" s="138">
        <f t="shared" si="33"/>
        <v>55457.70491728312</v>
      </c>
      <c r="K160" s="196">
        <f t="shared" si="27"/>
        <v>0</v>
      </c>
      <c r="L160" s="136">
        <f t="shared" si="25"/>
        <v>0</v>
      </c>
      <c r="M160" s="136">
        <v>0</v>
      </c>
    </row>
    <row r="161" spans="2:13" ht="12.75">
      <c r="B161" s="137">
        <f t="shared" si="26"/>
      </c>
      <c r="C161" s="130">
        <f t="shared" si="24"/>
        <v>147</v>
      </c>
      <c r="D161" s="131">
        <f t="shared" si="28"/>
        <v>42430</v>
      </c>
      <c r="E161" s="134">
        <f t="shared" si="29"/>
        <v>204542.295082717</v>
      </c>
      <c r="F161" s="195">
        <f t="shared" si="23"/>
        <v>1022.711475413585</v>
      </c>
      <c r="G161" s="134">
        <f t="shared" si="30"/>
        <v>536.1198899835881</v>
      </c>
      <c r="H161" s="134">
        <f t="shared" si="31"/>
        <v>204006.1751927334</v>
      </c>
      <c r="I161" s="134">
        <f t="shared" si="32"/>
        <v>173154.38590611774</v>
      </c>
      <c r="J161" s="138">
        <f t="shared" si="33"/>
        <v>55993.824807266705</v>
      </c>
      <c r="K161" s="196">
        <f t="shared" si="27"/>
        <v>0</v>
      </c>
      <c r="L161" s="136">
        <f t="shared" si="25"/>
        <v>0</v>
      </c>
      <c r="M161" s="136">
        <v>0</v>
      </c>
    </row>
    <row r="162" spans="2:13" ht="12.75">
      <c r="B162" s="137">
        <f t="shared" si="26"/>
      </c>
      <c r="C162" s="130">
        <f t="shared" si="24"/>
        <v>148</v>
      </c>
      <c r="D162" s="131">
        <f t="shared" si="28"/>
        <v>42461</v>
      </c>
      <c r="E162" s="134">
        <f t="shared" si="29"/>
        <v>204006.1751927334</v>
      </c>
      <c r="F162" s="195">
        <f aca="true" t="shared" si="34" ref="F162:F225">$E$6/$E$8*E162</f>
        <v>1020.0308759636671</v>
      </c>
      <c r="G162" s="134">
        <f t="shared" si="30"/>
        <v>538.8004894335061</v>
      </c>
      <c r="H162" s="134">
        <f t="shared" si="31"/>
        <v>203467.3747032999</v>
      </c>
      <c r="I162" s="134">
        <f t="shared" si="32"/>
        <v>174174.4167820814</v>
      </c>
      <c r="J162" s="138">
        <f t="shared" si="33"/>
        <v>56532.62529670021</v>
      </c>
      <c r="K162" s="196">
        <f t="shared" si="27"/>
        <v>0</v>
      </c>
      <c r="L162" s="136">
        <f t="shared" si="25"/>
        <v>0</v>
      </c>
      <c r="M162" s="136">
        <v>0</v>
      </c>
    </row>
    <row r="163" spans="2:13" ht="12.75">
      <c r="B163" s="137">
        <f t="shared" si="26"/>
      </c>
      <c r="C163" s="130">
        <f t="shared" si="24"/>
        <v>149</v>
      </c>
      <c r="D163" s="131">
        <f t="shared" si="28"/>
        <v>42491</v>
      </c>
      <c r="E163" s="134">
        <f t="shared" si="29"/>
        <v>203467.3747032999</v>
      </c>
      <c r="F163" s="195">
        <f t="shared" si="34"/>
        <v>1017.3368735164995</v>
      </c>
      <c r="G163" s="134">
        <f t="shared" si="30"/>
        <v>541.4944918806736</v>
      </c>
      <c r="H163" s="134">
        <f t="shared" si="31"/>
        <v>202925.88021141922</v>
      </c>
      <c r="I163" s="134">
        <f t="shared" si="32"/>
        <v>175191.7536555979</v>
      </c>
      <c r="J163" s="138">
        <f t="shared" si="33"/>
        <v>57074.11978858088</v>
      </c>
      <c r="K163" s="196">
        <f t="shared" si="27"/>
        <v>0</v>
      </c>
      <c r="L163" s="136">
        <f t="shared" si="25"/>
        <v>0</v>
      </c>
      <c r="M163" s="136">
        <v>0</v>
      </c>
    </row>
    <row r="164" spans="2:13" ht="12.75">
      <c r="B164" s="137">
        <f t="shared" si="26"/>
      </c>
      <c r="C164" s="130">
        <f t="shared" si="24"/>
        <v>150</v>
      </c>
      <c r="D164" s="131">
        <f t="shared" si="28"/>
        <v>42522</v>
      </c>
      <c r="E164" s="134">
        <f t="shared" si="29"/>
        <v>202925.88021141922</v>
      </c>
      <c r="F164" s="195">
        <f t="shared" si="34"/>
        <v>1014.6294010570962</v>
      </c>
      <c r="G164" s="134">
        <f t="shared" si="30"/>
        <v>544.201964340077</v>
      </c>
      <c r="H164" s="134">
        <f t="shared" si="31"/>
        <v>202381.67824707914</v>
      </c>
      <c r="I164" s="134">
        <f t="shared" si="32"/>
        <v>176206.38305665497</v>
      </c>
      <c r="J164" s="138">
        <f t="shared" si="33"/>
        <v>57618.32175292096</v>
      </c>
      <c r="K164" s="196">
        <f t="shared" si="27"/>
        <v>0</v>
      </c>
      <c r="L164" s="136">
        <f t="shared" si="25"/>
        <v>0</v>
      </c>
      <c r="M164" s="136">
        <v>0</v>
      </c>
    </row>
    <row r="165" spans="2:13" ht="12.75">
      <c r="B165" s="137">
        <f t="shared" si="26"/>
      </c>
      <c r="C165" s="130">
        <f t="shared" si="24"/>
        <v>151</v>
      </c>
      <c r="D165" s="131">
        <f t="shared" si="28"/>
        <v>42552</v>
      </c>
      <c r="E165" s="134">
        <f t="shared" si="29"/>
        <v>202381.67824707914</v>
      </c>
      <c r="F165" s="195">
        <f t="shared" si="34"/>
        <v>1011.9083912353957</v>
      </c>
      <c r="G165" s="134">
        <f t="shared" si="30"/>
        <v>546.9229741617775</v>
      </c>
      <c r="H165" s="134">
        <f t="shared" si="31"/>
        <v>201834.75527291736</v>
      </c>
      <c r="I165" s="134">
        <f t="shared" si="32"/>
        <v>177218.29144789037</v>
      </c>
      <c r="J165" s="138">
        <f t="shared" si="33"/>
        <v>58165.24472708273</v>
      </c>
      <c r="K165" s="196">
        <f t="shared" si="27"/>
        <v>0</v>
      </c>
      <c r="L165" s="136">
        <f t="shared" si="25"/>
        <v>0</v>
      </c>
      <c r="M165" s="136">
        <v>0</v>
      </c>
    </row>
    <row r="166" spans="2:13" ht="12.75">
      <c r="B166" s="137">
        <f t="shared" si="26"/>
      </c>
      <c r="C166" s="130">
        <f t="shared" si="24"/>
        <v>152</v>
      </c>
      <c r="D166" s="131">
        <f t="shared" si="28"/>
        <v>42583</v>
      </c>
      <c r="E166" s="134">
        <f t="shared" si="29"/>
        <v>201834.75527291736</v>
      </c>
      <c r="F166" s="195">
        <f t="shared" si="34"/>
        <v>1009.1737763645868</v>
      </c>
      <c r="G166" s="134">
        <f t="shared" si="30"/>
        <v>549.6575890325863</v>
      </c>
      <c r="H166" s="134">
        <f t="shared" si="31"/>
        <v>201285.0976838848</v>
      </c>
      <c r="I166" s="134">
        <f t="shared" si="32"/>
        <v>178227.46522425496</v>
      </c>
      <c r="J166" s="138">
        <f t="shared" si="33"/>
        <v>58714.902316115316</v>
      </c>
      <c r="K166" s="196">
        <f t="shared" si="27"/>
        <v>0</v>
      </c>
      <c r="L166" s="136">
        <f t="shared" si="25"/>
        <v>0</v>
      </c>
      <c r="M166" s="136">
        <v>0</v>
      </c>
    </row>
    <row r="167" spans="2:13" ht="12.75">
      <c r="B167" s="137">
        <f t="shared" si="26"/>
      </c>
      <c r="C167" s="130">
        <f t="shared" si="24"/>
        <v>153</v>
      </c>
      <c r="D167" s="131">
        <f t="shared" si="28"/>
        <v>42614</v>
      </c>
      <c r="E167" s="134">
        <f t="shared" si="29"/>
        <v>201285.0976838848</v>
      </c>
      <c r="F167" s="195">
        <f t="shared" si="34"/>
        <v>1006.4254884194239</v>
      </c>
      <c r="G167" s="134">
        <f t="shared" si="30"/>
        <v>552.4058769777492</v>
      </c>
      <c r="H167" s="134">
        <f t="shared" si="31"/>
        <v>200732.69180690704</v>
      </c>
      <c r="I167" s="134">
        <f t="shared" si="32"/>
        <v>179233.8907126744</v>
      </c>
      <c r="J167" s="138">
        <f t="shared" si="33"/>
        <v>59267.308193093064</v>
      </c>
      <c r="K167" s="196">
        <f t="shared" si="27"/>
        <v>0</v>
      </c>
      <c r="L167" s="136">
        <f t="shared" si="25"/>
        <v>0</v>
      </c>
      <c r="M167" s="136">
        <v>0</v>
      </c>
    </row>
    <row r="168" spans="2:13" ht="12.75">
      <c r="B168" s="137">
        <f t="shared" si="26"/>
      </c>
      <c r="C168" s="130">
        <f t="shared" si="24"/>
        <v>154</v>
      </c>
      <c r="D168" s="131">
        <f t="shared" si="28"/>
        <v>42644</v>
      </c>
      <c r="E168" s="134">
        <f t="shared" si="29"/>
        <v>200732.69180690704</v>
      </c>
      <c r="F168" s="195">
        <f t="shared" si="34"/>
        <v>1003.6634590345352</v>
      </c>
      <c r="G168" s="134">
        <f t="shared" si="30"/>
        <v>555.167906362638</v>
      </c>
      <c r="H168" s="134">
        <f t="shared" si="31"/>
        <v>200177.5239005444</v>
      </c>
      <c r="I168" s="134">
        <f t="shared" si="32"/>
        <v>180237.55417170894</v>
      </c>
      <c r="J168" s="138">
        <f t="shared" si="33"/>
        <v>59822.4760994557</v>
      </c>
      <c r="K168" s="196">
        <f t="shared" si="27"/>
        <v>0</v>
      </c>
      <c r="L168" s="136">
        <f t="shared" si="25"/>
        <v>0</v>
      </c>
      <c r="M168" s="136">
        <v>0</v>
      </c>
    </row>
    <row r="169" spans="2:13" ht="12.75">
      <c r="B169" s="137">
        <f t="shared" si="26"/>
      </c>
      <c r="C169" s="130">
        <f t="shared" si="24"/>
        <v>155</v>
      </c>
      <c r="D169" s="131">
        <f t="shared" si="28"/>
        <v>42675</v>
      </c>
      <c r="E169" s="134">
        <f t="shared" si="29"/>
        <v>200177.5239005444</v>
      </c>
      <c r="F169" s="195">
        <f t="shared" si="34"/>
        <v>1000.8876195027219</v>
      </c>
      <c r="G169" s="134">
        <f t="shared" si="30"/>
        <v>557.9437458944512</v>
      </c>
      <c r="H169" s="134">
        <f t="shared" si="31"/>
        <v>199619.58015464994</v>
      </c>
      <c r="I169" s="134">
        <f t="shared" si="32"/>
        <v>181238.44179121166</v>
      </c>
      <c r="J169" s="138">
        <f t="shared" si="33"/>
        <v>60380.41984535015</v>
      </c>
      <c r="K169" s="196">
        <f t="shared" si="27"/>
        <v>0</v>
      </c>
      <c r="L169" s="136">
        <f t="shared" si="25"/>
        <v>0</v>
      </c>
      <c r="M169" s="136">
        <v>0</v>
      </c>
    </row>
    <row r="170" spans="2:13" ht="12.75">
      <c r="B170" s="137">
        <f t="shared" si="26"/>
      </c>
      <c r="C170" s="130">
        <f t="shared" si="24"/>
        <v>156</v>
      </c>
      <c r="D170" s="131">
        <f t="shared" si="28"/>
        <v>42705</v>
      </c>
      <c r="E170" s="134">
        <f t="shared" si="29"/>
        <v>199619.58015464994</v>
      </c>
      <c r="F170" s="195">
        <f t="shared" si="34"/>
        <v>998.0979007732498</v>
      </c>
      <c r="G170" s="134">
        <f t="shared" si="30"/>
        <v>560.7334646239234</v>
      </c>
      <c r="H170" s="134">
        <f t="shared" si="31"/>
        <v>199058.84669002602</v>
      </c>
      <c r="I170" s="134">
        <f t="shared" si="32"/>
        <v>182236.53969198492</v>
      </c>
      <c r="J170" s="138">
        <f t="shared" si="33"/>
        <v>60941.15330997408</v>
      </c>
      <c r="K170" s="196">
        <f t="shared" si="27"/>
        <v>0</v>
      </c>
      <c r="L170" s="136">
        <f t="shared" si="25"/>
        <v>0</v>
      </c>
      <c r="M170" s="136">
        <v>0</v>
      </c>
    </row>
    <row r="171" spans="2:13" ht="12.75">
      <c r="B171" s="137" t="str">
        <f t="shared" si="26"/>
        <v>Year 14</v>
      </c>
      <c r="C171" s="130">
        <f t="shared" si="24"/>
        <v>157</v>
      </c>
      <c r="D171" s="131">
        <f t="shared" si="28"/>
        <v>42736</v>
      </c>
      <c r="E171" s="134">
        <f t="shared" si="29"/>
        <v>199058.84669002602</v>
      </c>
      <c r="F171" s="195">
        <f t="shared" si="34"/>
        <v>995.2942334501302</v>
      </c>
      <c r="G171" s="134">
        <f t="shared" si="30"/>
        <v>563.537131947043</v>
      </c>
      <c r="H171" s="134">
        <f t="shared" si="31"/>
        <v>198495.309558079</v>
      </c>
      <c r="I171" s="134">
        <f t="shared" si="32"/>
        <v>183231.83392543506</v>
      </c>
      <c r="J171" s="138">
        <f t="shared" si="33"/>
        <v>61504.69044192112</v>
      </c>
      <c r="K171" s="196">
        <f t="shared" si="27"/>
        <v>0</v>
      </c>
      <c r="L171" s="136">
        <f t="shared" si="25"/>
        <v>0</v>
      </c>
      <c r="M171" s="136">
        <v>0</v>
      </c>
    </row>
    <row r="172" spans="2:13" ht="12.75">
      <c r="B172" s="137">
        <f t="shared" si="26"/>
      </c>
      <c r="C172" s="130">
        <f t="shared" si="24"/>
        <v>158</v>
      </c>
      <c r="D172" s="131">
        <f t="shared" si="28"/>
        <v>42767</v>
      </c>
      <c r="E172" s="134">
        <f t="shared" si="29"/>
        <v>198495.309558079</v>
      </c>
      <c r="F172" s="195">
        <f t="shared" si="34"/>
        <v>992.476547790395</v>
      </c>
      <c r="G172" s="134">
        <f t="shared" si="30"/>
        <v>566.3548176067782</v>
      </c>
      <c r="H172" s="134">
        <f t="shared" si="31"/>
        <v>197928.95474047223</v>
      </c>
      <c r="I172" s="134">
        <f t="shared" si="32"/>
        <v>184224.31047322546</v>
      </c>
      <c r="J172" s="138">
        <f t="shared" si="33"/>
        <v>62071.0452595279</v>
      </c>
      <c r="K172" s="196">
        <f t="shared" si="27"/>
        <v>0</v>
      </c>
      <c r="L172" s="136">
        <f t="shared" si="25"/>
        <v>0</v>
      </c>
      <c r="M172" s="136">
        <v>0</v>
      </c>
    </row>
    <row r="173" spans="2:13" ht="12.75">
      <c r="B173" s="137">
        <f t="shared" si="26"/>
      </c>
      <c r="C173" s="130">
        <f t="shared" si="24"/>
        <v>159</v>
      </c>
      <c r="D173" s="131">
        <f t="shared" si="28"/>
        <v>42795</v>
      </c>
      <c r="E173" s="134">
        <f t="shared" si="29"/>
        <v>197928.95474047223</v>
      </c>
      <c r="F173" s="195">
        <f t="shared" si="34"/>
        <v>989.6447737023611</v>
      </c>
      <c r="G173" s="134">
        <f t="shared" si="30"/>
        <v>569.186591694812</v>
      </c>
      <c r="H173" s="134">
        <f t="shared" si="31"/>
        <v>197359.76814877742</v>
      </c>
      <c r="I173" s="134">
        <f t="shared" si="32"/>
        <v>185213.95524692783</v>
      </c>
      <c r="J173" s="138">
        <f t="shared" si="33"/>
        <v>62640.231851222714</v>
      </c>
      <c r="K173" s="196">
        <f t="shared" si="27"/>
        <v>0</v>
      </c>
      <c r="L173" s="136">
        <f t="shared" si="25"/>
        <v>0</v>
      </c>
      <c r="M173" s="136">
        <v>0</v>
      </c>
    </row>
    <row r="174" spans="2:13" ht="12.75">
      <c r="B174" s="137">
        <f t="shared" si="26"/>
      </c>
      <c r="C174" s="130">
        <f t="shared" si="24"/>
        <v>160</v>
      </c>
      <c r="D174" s="131">
        <f t="shared" si="28"/>
        <v>42826</v>
      </c>
      <c r="E174" s="134">
        <f t="shared" si="29"/>
        <v>197359.76814877742</v>
      </c>
      <c r="F174" s="195">
        <f t="shared" si="34"/>
        <v>986.7988407438871</v>
      </c>
      <c r="G174" s="134">
        <f t="shared" si="30"/>
        <v>572.032524653286</v>
      </c>
      <c r="H174" s="134">
        <f t="shared" si="31"/>
        <v>196787.73562412415</v>
      </c>
      <c r="I174" s="134">
        <f t="shared" si="32"/>
        <v>186200.75408767172</v>
      </c>
      <c r="J174" s="138">
        <f t="shared" si="33"/>
        <v>63212.264375876</v>
      </c>
      <c r="K174" s="196">
        <f t="shared" si="27"/>
        <v>0</v>
      </c>
      <c r="L174" s="136">
        <f t="shared" si="25"/>
        <v>0</v>
      </c>
      <c r="M174" s="136">
        <v>0</v>
      </c>
    </row>
    <row r="175" spans="2:13" ht="12.75">
      <c r="B175" s="137">
        <f t="shared" si="26"/>
      </c>
      <c r="C175" s="130">
        <f t="shared" si="24"/>
        <v>161</v>
      </c>
      <c r="D175" s="131">
        <f t="shared" si="28"/>
        <v>42856</v>
      </c>
      <c r="E175" s="134">
        <f t="shared" si="29"/>
        <v>196787.73562412415</v>
      </c>
      <c r="F175" s="195">
        <f t="shared" si="34"/>
        <v>983.9386781206208</v>
      </c>
      <c r="G175" s="134">
        <f t="shared" si="30"/>
        <v>574.8926872765524</v>
      </c>
      <c r="H175" s="134">
        <f t="shared" si="31"/>
        <v>196212.8429368476</v>
      </c>
      <c r="I175" s="134">
        <f t="shared" si="32"/>
        <v>187184.69276579234</v>
      </c>
      <c r="J175" s="138">
        <f t="shared" si="33"/>
        <v>63787.157063152554</v>
      </c>
      <c r="K175" s="196">
        <f t="shared" si="27"/>
        <v>0</v>
      </c>
      <c r="L175" s="136">
        <f t="shared" si="25"/>
        <v>0</v>
      </c>
      <c r="M175" s="136">
        <v>0</v>
      </c>
    </row>
    <row r="176" spans="2:13" ht="12.75">
      <c r="B176" s="137">
        <f t="shared" si="26"/>
      </c>
      <c r="C176" s="130">
        <f t="shared" si="24"/>
        <v>162</v>
      </c>
      <c r="D176" s="131">
        <f t="shared" si="28"/>
        <v>42887</v>
      </c>
      <c r="E176" s="134">
        <f t="shared" si="29"/>
        <v>196212.8429368476</v>
      </c>
      <c r="F176" s="195">
        <f t="shared" si="34"/>
        <v>981.064214684238</v>
      </c>
      <c r="G176" s="134">
        <f t="shared" si="30"/>
        <v>577.7671507129352</v>
      </c>
      <c r="H176" s="134">
        <f t="shared" si="31"/>
        <v>195635.07578613466</v>
      </c>
      <c r="I176" s="134">
        <f t="shared" si="32"/>
        <v>188165.75698047658</v>
      </c>
      <c r="J176" s="138">
        <f t="shared" si="33"/>
        <v>64364.92421386549</v>
      </c>
      <c r="K176" s="196">
        <f t="shared" si="27"/>
        <v>0</v>
      </c>
      <c r="L176" s="136">
        <f t="shared" si="25"/>
        <v>0</v>
      </c>
      <c r="M176" s="136">
        <v>0</v>
      </c>
    </row>
    <row r="177" spans="2:13" ht="12.75">
      <c r="B177" s="137">
        <f t="shared" si="26"/>
      </c>
      <c r="C177" s="130">
        <f t="shared" si="24"/>
        <v>163</v>
      </c>
      <c r="D177" s="131">
        <f t="shared" si="28"/>
        <v>42917</v>
      </c>
      <c r="E177" s="134">
        <f t="shared" si="29"/>
        <v>195635.07578613466</v>
      </c>
      <c r="F177" s="195">
        <f t="shared" si="34"/>
        <v>978.1753789306733</v>
      </c>
      <c r="G177" s="134">
        <f t="shared" si="30"/>
        <v>580.6559864664998</v>
      </c>
      <c r="H177" s="134">
        <f t="shared" si="31"/>
        <v>195054.41979966816</v>
      </c>
      <c r="I177" s="134">
        <f t="shared" si="32"/>
        <v>189143.93235940725</v>
      </c>
      <c r="J177" s="138">
        <f t="shared" si="33"/>
        <v>64945.58020033199</v>
      </c>
      <c r="K177" s="196">
        <f t="shared" si="27"/>
        <v>0</v>
      </c>
      <c r="L177" s="136">
        <f t="shared" si="25"/>
        <v>0</v>
      </c>
      <c r="M177" s="136">
        <v>0</v>
      </c>
    </row>
    <row r="178" spans="2:13" ht="12.75">
      <c r="B178" s="137">
        <f t="shared" si="26"/>
      </c>
      <c r="C178" s="130">
        <f t="shared" si="24"/>
        <v>164</v>
      </c>
      <c r="D178" s="131">
        <f t="shared" si="28"/>
        <v>42948</v>
      </c>
      <c r="E178" s="134">
        <f t="shared" si="29"/>
        <v>195054.41979966816</v>
      </c>
      <c r="F178" s="195">
        <f t="shared" si="34"/>
        <v>975.2720989983409</v>
      </c>
      <c r="G178" s="134">
        <f t="shared" si="30"/>
        <v>583.5592663988323</v>
      </c>
      <c r="H178" s="134">
        <f t="shared" si="31"/>
        <v>194470.86053326933</v>
      </c>
      <c r="I178" s="134">
        <f t="shared" si="32"/>
        <v>190119.20445840558</v>
      </c>
      <c r="J178" s="138">
        <f t="shared" si="33"/>
        <v>65529.13946673083</v>
      </c>
      <c r="K178" s="196">
        <f t="shared" si="27"/>
        <v>0</v>
      </c>
      <c r="L178" s="136">
        <f t="shared" si="25"/>
        <v>0</v>
      </c>
      <c r="M178" s="136">
        <v>0</v>
      </c>
    </row>
    <row r="179" spans="2:13" ht="12.75">
      <c r="B179" s="137">
        <f t="shared" si="26"/>
      </c>
      <c r="C179" s="130">
        <f t="shared" si="24"/>
        <v>165</v>
      </c>
      <c r="D179" s="131">
        <f t="shared" si="28"/>
        <v>42979</v>
      </c>
      <c r="E179" s="134">
        <f t="shared" si="29"/>
        <v>194470.86053326933</v>
      </c>
      <c r="F179" s="195">
        <f t="shared" si="34"/>
        <v>972.3543026663466</v>
      </c>
      <c r="G179" s="134">
        <f t="shared" si="30"/>
        <v>586.4770627308266</v>
      </c>
      <c r="H179" s="134">
        <f t="shared" si="31"/>
        <v>193884.3834705385</v>
      </c>
      <c r="I179" s="134">
        <f t="shared" si="32"/>
        <v>191091.55876107194</v>
      </c>
      <c r="J179" s="138">
        <f t="shared" si="33"/>
        <v>66115.61652946165</v>
      </c>
      <c r="K179" s="196">
        <f t="shared" si="27"/>
        <v>0</v>
      </c>
      <c r="L179" s="136">
        <f t="shared" si="25"/>
        <v>0</v>
      </c>
      <c r="M179" s="136">
        <v>0</v>
      </c>
    </row>
    <row r="180" spans="2:13" ht="12.75">
      <c r="B180" s="137">
        <f t="shared" si="26"/>
      </c>
      <c r="C180" s="130">
        <f t="shared" si="24"/>
        <v>166</v>
      </c>
      <c r="D180" s="131">
        <f t="shared" si="28"/>
        <v>43009</v>
      </c>
      <c r="E180" s="134">
        <f t="shared" si="29"/>
        <v>193884.3834705385</v>
      </c>
      <c r="F180" s="195">
        <f t="shared" si="34"/>
        <v>969.4219173526926</v>
      </c>
      <c r="G180" s="134">
        <f t="shared" si="30"/>
        <v>589.4094480444805</v>
      </c>
      <c r="H180" s="134">
        <f t="shared" si="31"/>
        <v>193294.97402249402</v>
      </c>
      <c r="I180" s="134">
        <f t="shared" si="32"/>
        <v>192060.98067842462</v>
      </c>
      <c r="J180" s="138">
        <f t="shared" si="33"/>
        <v>66705.02597750613</v>
      </c>
      <c r="K180" s="196">
        <f t="shared" si="27"/>
        <v>0</v>
      </c>
      <c r="L180" s="136">
        <f t="shared" si="25"/>
        <v>0</v>
      </c>
      <c r="M180" s="136">
        <v>0</v>
      </c>
    </row>
    <row r="181" spans="2:13" ht="12.75">
      <c r="B181" s="137">
        <f t="shared" si="26"/>
      </c>
      <c r="C181" s="130">
        <f t="shared" si="24"/>
        <v>167</v>
      </c>
      <c r="D181" s="131">
        <f t="shared" si="28"/>
        <v>43040</v>
      </c>
      <c r="E181" s="134">
        <f t="shared" si="29"/>
        <v>193294.97402249402</v>
      </c>
      <c r="F181" s="195">
        <f t="shared" si="34"/>
        <v>966.4748701124701</v>
      </c>
      <c r="G181" s="134">
        <f t="shared" si="30"/>
        <v>592.3564952847031</v>
      </c>
      <c r="H181" s="134">
        <f t="shared" si="31"/>
        <v>192702.6175272093</v>
      </c>
      <c r="I181" s="134">
        <f t="shared" si="32"/>
        <v>193027.45554853708</v>
      </c>
      <c r="J181" s="138">
        <f t="shared" si="33"/>
        <v>67297.38247279084</v>
      </c>
      <c r="K181" s="196">
        <f t="shared" si="27"/>
        <v>0</v>
      </c>
      <c r="L181" s="136">
        <f t="shared" si="25"/>
        <v>0</v>
      </c>
      <c r="M181" s="136">
        <v>0</v>
      </c>
    </row>
    <row r="182" spans="2:13" ht="12.75">
      <c r="B182" s="137">
        <f t="shared" si="26"/>
      </c>
      <c r="C182" s="130">
        <f t="shared" si="24"/>
        <v>168</v>
      </c>
      <c r="D182" s="131">
        <f t="shared" si="28"/>
        <v>43070</v>
      </c>
      <c r="E182" s="134">
        <f t="shared" si="29"/>
        <v>192702.6175272093</v>
      </c>
      <c r="F182" s="195">
        <f t="shared" si="34"/>
        <v>963.5130876360465</v>
      </c>
      <c r="G182" s="134">
        <f t="shared" si="30"/>
        <v>595.3182777611266</v>
      </c>
      <c r="H182" s="134">
        <f t="shared" si="31"/>
        <v>192107.29924944817</v>
      </c>
      <c r="I182" s="134">
        <f t="shared" si="32"/>
        <v>193990.96863617311</v>
      </c>
      <c r="J182" s="138">
        <f t="shared" si="33"/>
        <v>67892.70075055196</v>
      </c>
      <c r="K182" s="196">
        <f t="shared" si="27"/>
        <v>0</v>
      </c>
      <c r="L182" s="136">
        <f t="shared" si="25"/>
        <v>0</v>
      </c>
      <c r="M182" s="136">
        <v>0</v>
      </c>
    </row>
    <row r="183" spans="2:13" ht="12.75">
      <c r="B183" s="137" t="str">
        <f t="shared" si="26"/>
        <v>Year 15</v>
      </c>
      <c r="C183" s="130">
        <f t="shared" si="24"/>
        <v>169</v>
      </c>
      <c r="D183" s="131">
        <f t="shared" si="28"/>
        <v>43101</v>
      </c>
      <c r="E183" s="134">
        <f t="shared" si="29"/>
        <v>192107.29924944817</v>
      </c>
      <c r="F183" s="195">
        <f t="shared" si="34"/>
        <v>960.5364962472408</v>
      </c>
      <c r="G183" s="134">
        <f t="shared" si="30"/>
        <v>598.2948691499323</v>
      </c>
      <c r="H183" s="134">
        <f t="shared" si="31"/>
        <v>191509.00438029825</v>
      </c>
      <c r="I183" s="134">
        <f t="shared" si="32"/>
        <v>194951.50513242037</v>
      </c>
      <c r="J183" s="138">
        <f t="shared" si="33"/>
        <v>68490.99561970189</v>
      </c>
      <c r="K183" s="196">
        <f t="shared" si="27"/>
        <v>0</v>
      </c>
      <c r="L183" s="136">
        <f t="shared" si="25"/>
        <v>0</v>
      </c>
      <c r="M183" s="136">
        <v>0</v>
      </c>
    </row>
    <row r="184" spans="2:13" ht="12.75">
      <c r="B184" s="137">
        <f t="shared" si="26"/>
      </c>
      <c r="C184" s="130">
        <f t="shared" si="24"/>
        <v>170</v>
      </c>
      <c r="D184" s="131">
        <f t="shared" si="28"/>
        <v>43132</v>
      </c>
      <c r="E184" s="134">
        <f t="shared" si="29"/>
        <v>191509.00438029825</v>
      </c>
      <c r="F184" s="195">
        <f t="shared" si="34"/>
        <v>957.5450219014913</v>
      </c>
      <c r="G184" s="134">
        <f t="shared" si="30"/>
        <v>601.2863434956819</v>
      </c>
      <c r="H184" s="134">
        <f t="shared" si="31"/>
        <v>190907.71803680257</v>
      </c>
      <c r="I184" s="134">
        <f t="shared" si="32"/>
        <v>195909.05015432186</v>
      </c>
      <c r="J184" s="138">
        <f t="shared" si="33"/>
        <v>69092.28196319757</v>
      </c>
      <c r="K184" s="196">
        <f t="shared" si="27"/>
        <v>0</v>
      </c>
      <c r="L184" s="136">
        <f t="shared" si="25"/>
        <v>0</v>
      </c>
      <c r="M184" s="136">
        <v>0</v>
      </c>
    </row>
    <row r="185" spans="2:13" ht="12.75">
      <c r="B185" s="137">
        <f t="shared" si="26"/>
      </c>
      <c r="C185" s="130">
        <f t="shared" si="24"/>
        <v>171</v>
      </c>
      <c r="D185" s="131">
        <f t="shared" si="28"/>
        <v>43160</v>
      </c>
      <c r="E185" s="134">
        <f t="shared" si="29"/>
        <v>190907.71803680257</v>
      </c>
      <c r="F185" s="195">
        <f t="shared" si="34"/>
        <v>954.5385901840128</v>
      </c>
      <c r="G185" s="134">
        <f t="shared" si="30"/>
        <v>604.2927752131603</v>
      </c>
      <c r="H185" s="134">
        <f t="shared" si="31"/>
        <v>190303.4252615894</v>
      </c>
      <c r="I185" s="134">
        <f t="shared" si="32"/>
        <v>196863.58874450586</v>
      </c>
      <c r="J185" s="138">
        <f t="shared" si="33"/>
        <v>69696.57473841074</v>
      </c>
      <c r="K185" s="196">
        <f t="shared" si="27"/>
        <v>0</v>
      </c>
      <c r="L185" s="136">
        <f t="shared" si="25"/>
        <v>0</v>
      </c>
      <c r="M185" s="136">
        <v>0</v>
      </c>
    </row>
    <row r="186" spans="2:13" ht="12.75">
      <c r="B186" s="137">
        <f t="shared" si="26"/>
      </c>
      <c r="C186" s="130">
        <f t="shared" si="24"/>
        <v>172</v>
      </c>
      <c r="D186" s="131">
        <f t="shared" si="28"/>
        <v>43191</v>
      </c>
      <c r="E186" s="134">
        <f t="shared" si="29"/>
        <v>190303.4252615894</v>
      </c>
      <c r="F186" s="195">
        <f t="shared" si="34"/>
        <v>951.517126307947</v>
      </c>
      <c r="G186" s="134">
        <f t="shared" si="30"/>
        <v>607.3142390892261</v>
      </c>
      <c r="H186" s="134">
        <f t="shared" si="31"/>
        <v>189696.11102250018</v>
      </c>
      <c r="I186" s="134">
        <f t="shared" si="32"/>
        <v>197815.1058708138</v>
      </c>
      <c r="J186" s="138">
        <f t="shared" si="33"/>
        <v>70303.88897749997</v>
      </c>
      <c r="K186" s="196">
        <f t="shared" si="27"/>
        <v>0</v>
      </c>
      <c r="L186" s="136">
        <f t="shared" si="25"/>
        <v>0</v>
      </c>
      <c r="M186" s="136">
        <v>0</v>
      </c>
    </row>
    <row r="187" spans="2:13" ht="12.75">
      <c r="B187" s="137">
        <f t="shared" si="26"/>
      </c>
      <c r="C187" s="130">
        <f t="shared" si="24"/>
        <v>173</v>
      </c>
      <c r="D187" s="131">
        <f t="shared" si="28"/>
        <v>43221</v>
      </c>
      <c r="E187" s="134">
        <f t="shared" si="29"/>
        <v>189696.11102250018</v>
      </c>
      <c r="F187" s="195">
        <f t="shared" si="34"/>
        <v>948.480555112501</v>
      </c>
      <c r="G187" s="134">
        <f t="shared" si="30"/>
        <v>610.3508102846722</v>
      </c>
      <c r="H187" s="134">
        <f t="shared" si="31"/>
        <v>189085.7602122155</v>
      </c>
      <c r="I187" s="134">
        <f t="shared" si="32"/>
        <v>198763.5864259263</v>
      </c>
      <c r="J187" s="138">
        <f t="shared" si="33"/>
        <v>70914.23978778464</v>
      </c>
      <c r="K187" s="196">
        <f t="shared" si="27"/>
        <v>0</v>
      </c>
      <c r="L187" s="136">
        <f t="shared" si="25"/>
        <v>0</v>
      </c>
      <c r="M187" s="136">
        <v>0</v>
      </c>
    </row>
    <row r="188" spans="2:13" ht="12.75">
      <c r="B188" s="137">
        <f t="shared" si="26"/>
      </c>
      <c r="C188" s="130">
        <f t="shared" si="24"/>
        <v>174</v>
      </c>
      <c r="D188" s="131">
        <f t="shared" si="28"/>
        <v>43252</v>
      </c>
      <c r="E188" s="134">
        <f t="shared" si="29"/>
        <v>189085.7602122155</v>
      </c>
      <c r="F188" s="195">
        <f t="shared" si="34"/>
        <v>945.4288010610776</v>
      </c>
      <c r="G188" s="134">
        <f t="shared" si="30"/>
        <v>613.4025643360956</v>
      </c>
      <c r="H188" s="134">
        <f t="shared" si="31"/>
        <v>188472.3576478794</v>
      </c>
      <c r="I188" s="134">
        <f t="shared" si="32"/>
        <v>199709.0152269874</v>
      </c>
      <c r="J188" s="138">
        <f t="shared" si="33"/>
        <v>71527.64235212073</v>
      </c>
      <c r="K188" s="196">
        <f t="shared" si="27"/>
        <v>0</v>
      </c>
      <c r="L188" s="136">
        <f t="shared" si="25"/>
        <v>0</v>
      </c>
      <c r="M188" s="136">
        <v>0</v>
      </c>
    </row>
    <row r="189" spans="2:13" ht="12.75">
      <c r="B189" s="137">
        <f t="shared" si="26"/>
      </c>
      <c r="C189" s="130">
        <f t="shared" si="24"/>
        <v>175</v>
      </c>
      <c r="D189" s="131">
        <f t="shared" si="28"/>
        <v>43282</v>
      </c>
      <c r="E189" s="134">
        <f t="shared" si="29"/>
        <v>188472.3576478794</v>
      </c>
      <c r="F189" s="195">
        <f t="shared" si="34"/>
        <v>942.361788239397</v>
      </c>
      <c r="G189" s="134">
        <f t="shared" si="30"/>
        <v>616.4695771577761</v>
      </c>
      <c r="H189" s="134">
        <f t="shared" si="31"/>
        <v>187855.88807072162</v>
      </c>
      <c r="I189" s="134">
        <f t="shared" si="32"/>
        <v>200651.37701522678</v>
      </c>
      <c r="J189" s="138">
        <f t="shared" si="33"/>
        <v>72144.11192927852</v>
      </c>
      <c r="K189" s="196">
        <f t="shared" si="27"/>
        <v>0</v>
      </c>
      <c r="L189" s="136">
        <f t="shared" si="25"/>
        <v>0</v>
      </c>
      <c r="M189" s="136">
        <v>0</v>
      </c>
    </row>
    <row r="190" spans="2:13" ht="12.75">
      <c r="B190" s="137">
        <f t="shared" si="26"/>
      </c>
      <c r="C190" s="130">
        <f t="shared" si="24"/>
        <v>176</v>
      </c>
      <c r="D190" s="131">
        <f t="shared" si="28"/>
        <v>43313</v>
      </c>
      <c r="E190" s="134">
        <f t="shared" si="29"/>
        <v>187855.88807072162</v>
      </c>
      <c r="F190" s="195">
        <f t="shared" si="34"/>
        <v>939.2794403536082</v>
      </c>
      <c r="G190" s="134">
        <f t="shared" si="30"/>
        <v>619.551925043565</v>
      </c>
      <c r="H190" s="134">
        <f t="shared" si="31"/>
        <v>187236.33614567804</v>
      </c>
      <c r="I190" s="134">
        <f t="shared" si="32"/>
        <v>201590.65645558038</v>
      </c>
      <c r="J190" s="138">
        <f t="shared" si="33"/>
        <v>72763.66385432208</v>
      </c>
      <c r="K190" s="196">
        <f t="shared" si="27"/>
        <v>0</v>
      </c>
      <c r="L190" s="136">
        <f t="shared" si="25"/>
        <v>0</v>
      </c>
      <c r="M190" s="136">
        <v>0</v>
      </c>
    </row>
    <row r="191" spans="2:13" ht="12.75">
      <c r="B191" s="137">
        <f t="shared" si="26"/>
      </c>
      <c r="C191" s="130">
        <f t="shared" si="24"/>
        <v>177</v>
      </c>
      <c r="D191" s="131">
        <f t="shared" si="28"/>
        <v>43344</v>
      </c>
      <c r="E191" s="134">
        <f t="shared" si="29"/>
        <v>187236.33614567804</v>
      </c>
      <c r="F191" s="195">
        <f t="shared" si="34"/>
        <v>936.1816807283902</v>
      </c>
      <c r="G191" s="134">
        <f t="shared" si="30"/>
        <v>622.6496846687829</v>
      </c>
      <c r="H191" s="134">
        <f t="shared" si="31"/>
        <v>186613.68646100926</v>
      </c>
      <c r="I191" s="134">
        <f t="shared" si="32"/>
        <v>202526.83813630877</v>
      </c>
      <c r="J191" s="138">
        <f t="shared" si="33"/>
        <v>73386.31353899086</v>
      </c>
      <c r="K191" s="196">
        <f t="shared" si="27"/>
        <v>0</v>
      </c>
      <c r="L191" s="136">
        <f t="shared" si="25"/>
        <v>0</v>
      </c>
      <c r="M191" s="136">
        <v>0</v>
      </c>
    </row>
    <row r="192" spans="2:13" ht="12.75">
      <c r="B192" s="137">
        <f t="shared" si="26"/>
      </c>
      <c r="C192" s="130">
        <f t="shared" si="24"/>
        <v>178</v>
      </c>
      <c r="D192" s="131">
        <f t="shared" si="28"/>
        <v>43374</v>
      </c>
      <c r="E192" s="134">
        <f t="shared" si="29"/>
        <v>186613.68646100926</v>
      </c>
      <c r="F192" s="195">
        <f t="shared" si="34"/>
        <v>933.0684323050464</v>
      </c>
      <c r="G192" s="134">
        <f t="shared" si="30"/>
        <v>625.7629330921268</v>
      </c>
      <c r="H192" s="134">
        <f t="shared" si="31"/>
        <v>185987.92352791713</v>
      </c>
      <c r="I192" s="134">
        <f t="shared" si="32"/>
        <v>203459.9065686138</v>
      </c>
      <c r="J192" s="138">
        <f t="shared" si="33"/>
        <v>74012.07647208299</v>
      </c>
      <c r="K192" s="196">
        <f t="shared" si="27"/>
        <v>0</v>
      </c>
      <c r="L192" s="136">
        <f t="shared" si="25"/>
        <v>0</v>
      </c>
      <c r="M192" s="136">
        <v>0</v>
      </c>
    </row>
    <row r="193" spans="2:13" ht="12.75">
      <c r="B193" s="137">
        <f t="shared" si="26"/>
      </c>
      <c r="C193" s="130">
        <f t="shared" si="24"/>
        <v>179</v>
      </c>
      <c r="D193" s="131">
        <f t="shared" si="28"/>
        <v>43405</v>
      </c>
      <c r="E193" s="134">
        <f t="shared" si="29"/>
        <v>185987.92352791713</v>
      </c>
      <c r="F193" s="195">
        <f t="shared" si="34"/>
        <v>929.9396176395857</v>
      </c>
      <c r="G193" s="134">
        <f t="shared" si="30"/>
        <v>628.8917477575875</v>
      </c>
      <c r="H193" s="134">
        <f t="shared" si="31"/>
        <v>185359.03178015954</v>
      </c>
      <c r="I193" s="134">
        <f t="shared" si="32"/>
        <v>204389.8461862534</v>
      </c>
      <c r="J193" s="138">
        <f t="shared" si="33"/>
        <v>74640.96821984058</v>
      </c>
      <c r="K193" s="196">
        <f t="shared" si="27"/>
        <v>0</v>
      </c>
      <c r="L193" s="136">
        <f t="shared" si="25"/>
        <v>0</v>
      </c>
      <c r="M193" s="136">
        <v>0</v>
      </c>
    </row>
    <row r="194" spans="2:13" ht="12.75">
      <c r="B194" s="140">
        <f t="shared" si="26"/>
      </c>
      <c r="C194" s="130">
        <f t="shared" si="24"/>
        <v>180</v>
      </c>
      <c r="D194" s="131">
        <f t="shared" si="28"/>
        <v>43435</v>
      </c>
      <c r="E194" s="134">
        <f t="shared" si="29"/>
        <v>185359.03178015954</v>
      </c>
      <c r="F194" s="195">
        <f t="shared" si="34"/>
        <v>926.7951589007977</v>
      </c>
      <c r="G194" s="134">
        <f t="shared" si="30"/>
        <v>632.0362064963755</v>
      </c>
      <c r="H194" s="134">
        <f t="shared" si="31"/>
        <v>184726.99557366315</v>
      </c>
      <c r="I194" s="134">
        <f t="shared" si="32"/>
        <v>205316.64134515417</v>
      </c>
      <c r="J194" s="138">
        <f t="shared" si="33"/>
        <v>75273.00442633695</v>
      </c>
      <c r="K194" s="197">
        <f t="shared" si="27"/>
        <v>0</v>
      </c>
      <c r="L194" s="136">
        <f t="shared" si="25"/>
        <v>0</v>
      </c>
      <c r="M194" s="136">
        <v>0</v>
      </c>
    </row>
    <row r="195" spans="2:13" ht="12.75">
      <c r="B195" s="140" t="str">
        <f t="shared" si="26"/>
        <v>Year 16</v>
      </c>
      <c r="C195" s="141">
        <f t="shared" si="24"/>
        <v>181</v>
      </c>
      <c r="D195" s="142">
        <f t="shared" si="28"/>
        <v>43466</v>
      </c>
      <c r="E195" s="134">
        <f t="shared" si="29"/>
        <v>184726.99557366315</v>
      </c>
      <c r="F195" s="195">
        <f t="shared" si="34"/>
        <v>923.6349778683158</v>
      </c>
      <c r="G195" s="134">
        <f t="shared" si="30"/>
        <v>635.1963875288574</v>
      </c>
      <c r="H195" s="143">
        <f t="shared" si="31"/>
        <v>184091.7991861343</v>
      </c>
      <c r="I195" s="144">
        <f t="shared" si="32"/>
        <v>206240.2763230225</v>
      </c>
      <c r="J195" s="138">
        <f t="shared" si="33"/>
        <v>75908.20081386581</v>
      </c>
      <c r="K195" s="198">
        <f t="shared" si="27"/>
        <v>0</v>
      </c>
      <c r="L195" s="136">
        <f t="shared" si="25"/>
        <v>0</v>
      </c>
      <c r="M195" s="136">
        <v>0</v>
      </c>
    </row>
    <row r="196" spans="2:13" ht="12.75">
      <c r="B196" s="140">
        <f t="shared" si="26"/>
      </c>
      <c r="C196" s="141">
        <f t="shared" si="24"/>
        <v>182</v>
      </c>
      <c r="D196" s="142">
        <f t="shared" si="28"/>
        <v>43497</v>
      </c>
      <c r="E196" s="134">
        <f t="shared" si="29"/>
        <v>184091.7991861343</v>
      </c>
      <c r="F196" s="195">
        <f t="shared" si="34"/>
        <v>920.4589959306716</v>
      </c>
      <c r="G196" s="134">
        <f t="shared" si="30"/>
        <v>638.3723694665016</v>
      </c>
      <c r="H196" s="134">
        <f t="shared" si="31"/>
        <v>183453.4268166678</v>
      </c>
      <c r="I196" s="144">
        <f t="shared" si="32"/>
        <v>207160.73531895317</v>
      </c>
      <c r="J196" s="138">
        <f t="shared" si="33"/>
        <v>76546.57318333231</v>
      </c>
      <c r="K196" s="198">
        <f t="shared" si="27"/>
        <v>0</v>
      </c>
      <c r="L196" s="136">
        <f t="shared" si="25"/>
        <v>0</v>
      </c>
      <c r="M196" s="136">
        <v>0</v>
      </c>
    </row>
    <row r="197" spans="2:13" ht="12.75">
      <c r="B197" s="140">
        <f t="shared" si="26"/>
      </c>
      <c r="C197" s="141">
        <f t="shared" si="24"/>
        <v>183</v>
      </c>
      <c r="D197" s="142">
        <f t="shared" si="28"/>
        <v>43525</v>
      </c>
      <c r="E197" s="134">
        <f t="shared" si="29"/>
        <v>183453.4268166678</v>
      </c>
      <c r="F197" s="195">
        <f t="shared" si="34"/>
        <v>917.2671340833391</v>
      </c>
      <c r="G197" s="134">
        <f t="shared" si="30"/>
        <v>641.5642313138341</v>
      </c>
      <c r="H197" s="134">
        <f t="shared" si="31"/>
        <v>182811.86258535399</v>
      </c>
      <c r="I197" s="144">
        <f t="shared" si="32"/>
        <v>208078.00245303652</v>
      </c>
      <c r="J197" s="138">
        <f t="shared" si="33"/>
        <v>77188.13741464615</v>
      </c>
      <c r="K197" s="198">
        <f t="shared" si="27"/>
        <v>0</v>
      </c>
      <c r="L197" s="136">
        <f t="shared" si="25"/>
        <v>0</v>
      </c>
      <c r="M197" s="136">
        <v>0</v>
      </c>
    </row>
    <row r="198" spans="2:13" ht="12.75">
      <c r="B198" s="140">
        <f t="shared" si="26"/>
      </c>
      <c r="C198" s="141">
        <f t="shared" si="24"/>
        <v>184</v>
      </c>
      <c r="D198" s="142">
        <f t="shared" si="28"/>
        <v>43556</v>
      </c>
      <c r="E198" s="134">
        <f t="shared" si="29"/>
        <v>182811.86258535399</v>
      </c>
      <c r="F198" s="195">
        <f t="shared" si="34"/>
        <v>914.05931292677</v>
      </c>
      <c r="G198" s="134">
        <f t="shared" si="30"/>
        <v>644.7720524704032</v>
      </c>
      <c r="H198" s="134">
        <f t="shared" si="31"/>
        <v>182167.0905328836</v>
      </c>
      <c r="I198" s="144">
        <f t="shared" si="32"/>
        <v>208992.0617659633</v>
      </c>
      <c r="J198" s="138">
        <f t="shared" si="33"/>
        <v>77832.90946711655</v>
      </c>
      <c r="K198" s="198">
        <f t="shared" si="27"/>
        <v>0</v>
      </c>
      <c r="L198" s="136">
        <f t="shared" si="25"/>
        <v>0</v>
      </c>
      <c r="M198" s="136">
        <v>0</v>
      </c>
    </row>
    <row r="199" spans="2:13" ht="12.75">
      <c r="B199" s="140">
        <f t="shared" si="26"/>
      </c>
      <c r="C199" s="141">
        <f t="shared" si="24"/>
        <v>185</v>
      </c>
      <c r="D199" s="142">
        <f t="shared" si="28"/>
        <v>43586</v>
      </c>
      <c r="E199" s="134">
        <f t="shared" si="29"/>
        <v>182167.0905328836</v>
      </c>
      <c r="F199" s="195">
        <f t="shared" si="34"/>
        <v>910.835452664418</v>
      </c>
      <c r="G199" s="134">
        <f t="shared" si="30"/>
        <v>647.9959127327552</v>
      </c>
      <c r="H199" s="134">
        <f t="shared" si="31"/>
        <v>181519.09462015083</v>
      </c>
      <c r="I199" s="144">
        <f t="shared" si="32"/>
        <v>209902.8972186277</v>
      </c>
      <c r="J199" s="138">
        <f t="shared" si="33"/>
        <v>78480.90537984931</v>
      </c>
      <c r="K199" s="198">
        <f t="shared" si="27"/>
        <v>0</v>
      </c>
      <c r="L199" s="136">
        <f t="shared" si="25"/>
        <v>0</v>
      </c>
      <c r="M199" s="136">
        <v>0</v>
      </c>
    </row>
    <row r="200" spans="2:13" ht="12.75">
      <c r="B200" s="140">
        <f t="shared" si="26"/>
      </c>
      <c r="C200" s="141">
        <f t="shared" si="24"/>
        <v>186</v>
      </c>
      <c r="D200" s="142">
        <f t="shared" si="28"/>
        <v>43617</v>
      </c>
      <c r="E200" s="134">
        <f t="shared" si="29"/>
        <v>181519.09462015083</v>
      </c>
      <c r="F200" s="195">
        <f t="shared" si="34"/>
        <v>907.5954731007541</v>
      </c>
      <c r="G200" s="134">
        <f t="shared" si="30"/>
        <v>651.235892296419</v>
      </c>
      <c r="H200" s="134">
        <f t="shared" si="31"/>
        <v>180867.85872785441</v>
      </c>
      <c r="I200" s="144">
        <f t="shared" si="32"/>
        <v>210810.49269172846</v>
      </c>
      <c r="J200" s="138">
        <f t="shared" si="33"/>
        <v>79132.14127214573</v>
      </c>
      <c r="K200" s="198">
        <f t="shared" si="27"/>
        <v>0</v>
      </c>
      <c r="L200" s="136">
        <f t="shared" si="25"/>
        <v>0</v>
      </c>
      <c r="M200" s="136">
        <v>0</v>
      </c>
    </row>
    <row r="201" spans="2:13" ht="12.75">
      <c r="B201" s="140">
        <f t="shared" si="26"/>
      </c>
      <c r="C201" s="141">
        <f t="shared" si="24"/>
        <v>187</v>
      </c>
      <c r="D201" s="142">
        <f t="shared" si="28"/>
        <v>43647</v>
      </c>
      <c r="E201" s="134">
        <f t="shared" si="29"/>
        <v>180867.85872785441</v>
      </c>
      <c r="F201" s="195">
        <f t="shared" si="34"/>
        <v>904.3392936392721</v>
      </c>
      <c r="G201" s="134">
        <f t="shared" si="30"/>
        <v>654.492071757901</v>
      </c>
      <c r="H201" s="134">
        <f t="shared" si="31"/>
        <v>180213.3666560965</v>
      </c>
      <c r="I201" s="144">
        <f t="shared" si="32"/>
        <v>211714.83198536772</v>
      </c>
      <c r="J201" s="138">
        <f t="shared" si="33"/>
        <v>79786.63334390364</v>
      </c>
      <c r="K201" s="198">
        <f t="shared" si="27"/>
        <v>0</v>
      </c>
      <c r="L201" s="136">
        <f t="shared" si="25"/>
        <v>0</v>
      </c>
      <c r="M201" s="136">
        <v>0</v>
      </c>
    </row>
    <row r="202" spans="2:13" ht="12.75">
      <c r="B202" s="140">
        <f t="shared" si="26"/>
      </c>
      <c r="C202" s="141">
        <f aca="true" t="shared" si="35" ref="C202:C265">C201+1</f>
        <v>188</v>
      </c>
      <c r="D202" s="142">
        <f t="shared" si="28"/>
        <v>43678</v>
      </c>
      <c r="E202" s="134">
        <f t="shared" si="29"/>
        <v>180213.3666560965</v>
      </c>
      <c r="F202" s="195">
        <f t="shared" si="34"/>
        <v>901.0668332804826</v>
      </c>
      <c r="G202" s="134">
        <f t="shared" si="30"/>
        <v>657.7645321166906</v>
      </c>
      <c r="H202" s="134">
        <f t="shared" si="31"/>
        <v>179555.60212397983</v>
      </c>
      <c r="I202" s="144">
        <f t="shared" si="32"/>
        <v>212615.89881864822</v>
      </c>
      <c r="J202" s="138">
        <f t="shared" si="33"/>
        <v>80444.39787602033</v>
      </c>
      <c r="K202" s="198">
        <f t="shared" si="27"/>
        <v>0</v>
      </c>
      <c r="L202" s="136">
        <f t="shared" si="25"/>
        <v>0</v>
      </c>
      <c r="M202" s="136">
        <v>0</v>
      </c>
    </row>
    <row r="203" spans="2:13" ht="12.75">
      <c r="B203" s="140">
        <f t="shared" si="26"/>
      </c>
      <c r="C203" s="141">
        <f t="shared" si="35"/>
        <v>189</v>
      </c>
      <c r="D203" s="142">
        <f t="shared" si="28"/>
        <v>43709</v>
      </c>
      <c r="E203" s="134">
        <f t="shared" si="29"/>
        <v>179555.60212397983</v>
      </c>
      <c r="F203" s="195">
        <f t="shared" si="34"/>
        <v>897.7780106198992</v>
      </c>
      <c r="G203" s="134">
        <f t="shared" si="30"/>
        <v>661.053354777274</v>
      </c>
      <c r="H203" s="134">
        <f t="shared" si="31"/>
        <v>178894.54876920255</v>
      </c>
      <c r="I203" s="144">
        <f t="shared" si="32"/>
        <v>213513.6768292681</v>
      </c>
      <c r="J203" s="138">
        <f t="shared" si="33"/>
        <v>81105.45123079761</v>
      </c>
      <c r="K203" s="198">
        <f t="shared" si="27"/>
        <v>0</v>
      </c>
      <c r="L203" s="136">
        <f aca="true" t="shared" si="36" ref="L203:L266">L202</f>
        <v>0</v>
      </c>
      <c r="M203" s="136">
        <v>0</v>
      </c>
    </row>
    <row r="204" spans="2:13" ht="12.75">
      <c r="B204" s="140">
        <f t="shared" si="26"/>
      </c>
      <c r="C204" s="141">
        <f t="shared" si="35"/>
        <v>190</v>
      </c>
      <c r="D204" s="142">
        <f t="shared" si="28"/>
        <v>43739</v>
      </c>
      <c r="E204" s="134">
        <f t="shared" si="29"/>
        <v>178894.54876920255</v>
      </c>
      <c r="F204" s="195">
        <f t="shared" si="34"/>
        <v>894.4727438460128</v>
      </c>
      <c r="G204" s="134">
        <f t="shared" si="30"/>
        <v>664.3586215511604</v>
      </c>
      <c r="H204" s="134">
        <f t="shared" si="31"/>
        <v>178230.1901476514</v>
      </c>
      <c r="I204" s="144">
        <f t="shared" si="32"/>
        <v>214408.14957311412</v>
      </c>
      <c r="J204" s="138">
        <f t="shared" si="33"/>
        <v>81769.80985234877</v>
      </c>
      <c r="K204" s="198">
        <f t="shared" si="27"/>
        <v>0</v>
      </c>
      <c r="L204" s="136">
        <f t="shared" si="36"/>
        <v>0</v>
      </c>
      <c r="M204" s="136">
        <v>0</v>
      </c>
    </row>
    <row r="205" spans="2:13" ht="12.75">
      <c r="B205" s="140">
        <f t="shared" si="26"/>
      </c>
      <c r="C205" s="141">
        <f t="shared" si="35"/>
        <v>191</v>
      </c>
      <c r="D205" s="142">
        <f t="shared" si="28"/>
        <v>43770</v>
      </c>
      <c r="E205" s="134">
        <f t="shared" si="29"/>
        <v>178230.1901476514</v>
      </c>
      <c r="F205" s="195">
        <f t="shared" si="34"/>
        <v>891.1509507382569</v>
      </c>
      <c r="G205" s="134">
        <f t="shared" si="30"/>
        <v>667.6804146589162</v>
      </c>
      <c r="H205" s="134">
        <f t="shared" si="31"/>
        <v>177562.50973299248</v>
      </c>
      <c r="I205" s="144">
        <f t="shared" si="32"/>
        <v>215299.30052385238</v>
      </c>
      <c r="J205" s="138">
        <f t="shared" si="33"/>
        <v>82437.49026700768</v>
      </c>
      <c r="K205" s="198">
        <f t="shared" si="27"/>
        <v>0</v>
      </c>
      <c r="L205" s="136">
        <f t="shared" si="36"/>
        <v>0</v>
      </c>
      <c r="M205" s="136">
        <v>0</v>
      </c>
    </row>
    <row r="206" spans="2:13" ht="12.75">
      <c r="B206" s="140">
        <f t="shared" si="26"/>
      </c>
      <c r="C206" s="141">
        <f t="shared" si="35"/>
        <v>192</v>
      </c>
      <c r="D206" s="142">
        <f t="shared" si="28"/>
        <v>43800</v>
      </c>
      <c r="E206" s="134">
        <f t="shared" si="29"/>
        <v>177562.50973299248</v>
      </c>
      <c r="F206" s="195">
        <f t="shared" si="34"/>
        <v>887.8125486649624</v>
      </c>
      <c r="G206" s="134">
        <f t="shared" si="30"/>
        <v>671.0188167322108</v>
      </c>
      <c r="H206" s="134">
        <f t="shared" si="31"/>
        <v>176891.49091626026</v>
      </c>
      <c r="I206" s="144">
        <f t="shared" si="32"/>
        <v>216187.11307251733</v>
      </c>
      <c r="J206" s="138">
        <f t="shared" si="33"/>
        <v>83108.50908373989</v>
      </c>
      <c r="K206" s="198">
        <f t="shared" si="27"/>
        <v>0</v>
      </c>
      <c r="L206" s="136">
        <f t="shared" si="36"/>
        <v>0</v>
      </c>
      <c r="M206" s="136">
        <v>0</v>
      </c>
    </row>
    <row r="207" spans="2:13" ht="12.75">
      <c r="B207" s="140" t="str">
        <f aca="true" t="shared" si="37" ref="B207:B270">IF((C207-1)/12=TRUNC((C207-1)/12),"Year "&amp;(C207-1)/12+1,"")</f>
        <v>Year 17</v>
      </c>
      <c r="C207" s="141">
        <f t="shared" si="35"/>
        <v>193</v>
      </c>
      <c r="D207" s="142">
        <f t="shared" si="28"/>
        <v>43831</v>
      </c>
      <c r="E207" s="134">
        <f t="shared" si="29"/>
        <v>176891.49091626026</v>
      </c>
      <c r="F207" s="195">
        <f t="shared" si="34"/>
        <v>884.4574545813012</v>
      </c>
      <c r="G207" s="134">
        <f t="shared" si="30"/>
        <v>674.3739108158719</v>
      </c>
      <c r="H207" s="134">
        <f t="shared" si="31"/>
        <v>176217.1170054444</v>
      </c>
      <c r="I207" s="144">
        <f t="shared" si="32"/>
        <v>217071.57052709864</v>
      </c>
      <c r="J207" s="138">
        <f t="shared" si="33"/>
        <v>83782.88299455577</v>
      </c>
      <c r="K207" s="198">
        <f aca="true" t="shared" si="38" ref="K207:K270">L207+M207</f>
        <v>0</v>
      </c>
      <c r="L207" s="136">
        <f t="shared" si="36"/>
        <v>0</v>
      </c>
      <c r="M207" s="136">
        <v>0</v>
      </c>
    </row>
    <row r="208" spans="2:13" ht="12.75">
      <c r="B208" s="140">
        <f t="shared" si="37"/>
      </c>
      <c r="C208" s="141">
        <f t="shared" si="35"/>
        <v>194</v>
      </c>
      <c r="D208" s="142">
        <f aca="true" t="shared" si="39" ref="D208:D271">DATE(YEAR(D207),MONTH(D207)+1,DAY(D207))</f>
        <v>43862</v>
      </c>
      <c r="E208" s="134">
        <f aca="true" t="shared" si="40" ref="E208:E271">IF(no_of_payments&gt;=C208,H207,0)</f>
        <v>176217.1170054444</v>
      </c>
      <c r="F208" s="195">
        <f t="shared" si="34"/>
        <v>881.085585027222</v>
      </c>
      <c r="G208" s="134">
        <f aca="true" t="shared" si="41" ref="G208:G271">IF(H207-G207&lt;=0,H207,$E$10-F208)</f>
        <v>677.7457803699511</v>
      </c>
      <c r="H208" s="134">
        <f aca="true" t="shared" si="42" ref="H208:H271">IF(E208-G208-K207&gt;=0,E208-G208-K207,0)</f>
        <v>175539.37122507443</v>
      </c>
      <c r="I208" s="144">
        <f aca="true" t="shared" si="43" ref="I208:I271">I207+F208</f>
        <v>217952.65611212587</v>
      </c>
      <c r="J208" s="138">
        <f aca="true" t="shared" si="44" ref="J208:J271">J207+G208</f>
        <v>84460.62877492572</v>
      </c>
      <c r="K208" s="198">
        <f t="shared" si="38"/>
        <v>0</v>
      </c>
      <c r="L208" s="136">
        <f t="shared" si="36"/>
        <v>0</v>
      </c>
      <c r="M208" s="136">
        <v>0</v>
      </c>
    </row>
    <row r="209" spans="2:13" ht="12.75">
      <c r="B209" s="140">
        <f t="shared" si="37"/>
      </c>
      <c r="C209" s="141">
        <f t="shared" si="35"/>
        <v>195</v>
      </c>
      <c r="D209" s="142">
        <f t="shared" si="39"/>
        <v>43891</v>
      </c>
      <c r="E209" s="134">
        <f t="shared" si="40"/>
        <v>175539.37122507443</v>
      </c>
      <c r="F209" s="195">
        <f t="shared" si="34"/>
        <v>877.6968561253722</v>
      </c>
      <c r="G209" s="134">
        <f t="shared" si="41"/>
        <v>681.134509271801</v>
      </c>
      <c r="H209" s="134">
        <f t="shared" si="42"/>
        <v>174858.23671580263</v>
      </c>
      <c r="I209" s="144">
        <f t="shared" si="43"/>
        <v>218830.35296825125</v>
      </c>
      <c r="J209" s="138">
        <f t="shared" si="44"/>
        <v>85141.76328419751</v>
      </c>
      <c r="K209" s="198">
        <f t="shared" si="38"/>
        <v>0</v>
      </c>
      <c r="L209" s="136">
        <f t="shared" si="36"/>
        <v>0</v>
      </c>
      <c r="M209" s="136">
        <v>0</v>
      </c>
    </row>
    <row r="210" spans="2:13" ht="12.75">
      <c r="B210" s="140">
        <f t="shared" si="37"/>
      </c>
      <c r="C210" s="141">
        <f t="shared" si="35"/>
        <v>196</v>
      </c>
      <c r="D210" s="142">
        <f t="shared" si="39"/>
        <v>43922</v>
      </c>
      <c r="E210" s="134">
        <f t="shared" si="40"/>
        <v>174858.23671580263</v>
      </c>
      <c r="F210" s="195">
        <f t="shared" si="34"/>
        <v>874.2911835790131</v>
      </c>
      <c r="G210" s="134">
        <f t="shared" si="41"/>
        <v>684.54018181816</v>
      </c>
      <c r="H210" s="134">
        <f t="shared" si="42"/>
        <v>174173.69653398448</v>
      </c>
      <c r="I210" s="144">
        <f t="shared" si="43"/>
        <v>219704.64415183026</v>
      </c>
      <c r="J210" s="138">
        <f t="shared" si="44"/>
        <v>85826.30346601567</v>
      </c>
      <c r="K210" s="198">
        <f t="shared" si="38"/>
        <v>0</v>
      </c>
      <c r="L210" s="136">
        <f t="shared" si="36"/>
        <v>0</v>
      </c>
      <c r="M210" s="136">
        <v>0</v>
      </c>
    </row>
    <row r="211" spans="2:13" ht="12.75">
      <c r="B211" s="140">
        <f t="shared" si="37"/>
      </c>
      <c r="C211" s="141">
        <f t="shared" si="35"/>
        <v>197</v>
      </c>
      <c r="D211" s="142">
        <f t="shared" si="39"/>
        <v>43952</v>
      </c>
      <c r="E211" s="134">
        <f t="shared" si="40"/>
        <v>174173.69653398448</v>
      </c>
      <c r="F211" s="195">
        <f t="shared" si="34"/>
        <v>870.8684826699224</v>
      </c>
      <c r="G211" s="134">
        <f t="shared" si="41"/>
        <v>687.9628827272508</v>
      </c>
      <c r="H211" s="134">
        <f t="shared" si="42"/>
        <v>173485.73365125724</v>
      </c>
      <c r="I211" s="144">
        <f t="shared" si="43"/>
        <v>220575.5126345002</v>
      </c>
      <c r="J211" s="138">
        <f t="shared" si="44"/>
        <v>86514.26634874292</v>
      </c>
      <c r="K211" s="198">
        <f t="shared" si="38"/>
        <v>0</v>
      </c>
      <c r="L211" s="136">
        <f t="shared" si="36"/>
        <v>0</v>
      </c>
      <c r="M211" s="136">
        <v>0</v>
      </c>
    </row>
    <row r="212" spans="2:13" ht="12.75">
      <c r="B212" s="140">
        <f t="shared" si="37"/>
      </c>
      <c r="C212" s="141">
        <f t="shared" si="35"/>
        <v>198</v>
      </c>
      <c r="D212" s="142">
        <f t="shared" si="39"/>
        <v>43983</v>
      </c>
      <c r="E212" s="134">
        <f t="shared" si="40"/>
        <v>173485.73365125724</v>
      </c>
      <c r="F212" s="195">
        <f t="shared" si="34"/>
        <v>867.4286682562862</v>
      </c>
      <c r="G212" s="134">
        <f t="shared" si="41"/>
        <v>691.402697140887</v>
      </c>
      <c r="H212" s="134">
        <f t="shared" si="42"/>
        <v>172794.33095411636</v>
      </c>
      <c r="I212" s="144">
        <f t="shared" si="43"/>
        <v>221442.9413027565</v>
      </c>
      <c r="J212" s="138">
        <f t="shared" si="44"/>
        <v>87205.66904588381</v>
      </c>
      <c r="K212" s="198">
        <f t="shared" si="38"/>
        <v>0</v>
      </c>
      <c r="L212" s="136">
        <f t="shared" si="36"/>
        <v>0</v>
      </c>
      <c r="M212" s="136">
        <v>0</v>
      </c>
    </row>
    <row r="213" spans="2:13" ht="12.75">
      <c r="B213" s="140">
        <f t="shared" si="37"/>
      </c>
      <c r="C213" s="141">
        <f t="shared" si="35"/>
        <v>199</v>
      </c>
      <c r="D213" s="142">
        <f t="shared" si="39"/>
        <v>44013</v>
      </c>
      <c r="E213" s="134">
        <f t="shared" si="40"/>
        <v>172794.33095411636</v>
      </c>
      <c r="F213" s="195">
        <f t="shared" si="34"/>
        <v>863.9716547705818</v>
      </c>
      <c r="G213" s="134">
        <f t="shared" si="41"/>
        <v>694.8597106265913</v>
      </c>
      <c r="H213" s="134">
        <f t="shared" si="42"/>
        <v>172099.47124348977</v>
      </c>
      <c r="I213" s="144">
        <f t="shared" si="43"/>
        <v>222306.91295752706</v>
      </c>
      <c r="J213" s="138">
        <f t="shared" si="44"/>
        <v>87900.52875651041</v>
      </c>
      <c r="K213" s="198">
        <f t="shared" si="38"/>
        <v>0</v>
      </c>
      <c r="L213" s="136">
        <f t="shared" si="36"/>
        <v>0</v>
      </c>
      <c r="M213" s="136">
        <v>0</v>
      </c>
    </row>
    <row r="214" spans="2:13" ht="12.75">
      <c r="B214" s="140">
        <f t="shared" si="37"/>
      </c>
      <c r="C214" s="141">
        <f t="shared" si="35"/>
        <v>200</v>
      </c>
      <c r="D214" s="142">
        <f t="shared" si="39"/>
        <v>44044</v>
      </c>
      <c r="E214" s="134">
        <f t="shared" si="40"/>
        <v>172099.47124348977</v>
      </c>
      <c r="F214" s="195">
        <f t="shared" si="34"/>
        <v>860.4973562174489</v>
      </c>
      <c r="G214" s="134">
        <f t="shared" si="41"/>
        <v>698.3340091797243</v>
      </c>
      <c r="H214" s="134">
        <f t="shared" si="42"/>
        <v>171401.13723431004</v>
      </c>
      <c r="I214" s="144">
        <f t="shared" si="43"/>
        <v>223167.4103137445</v>
      </c>
      <c r="J214" s="138">
        <f t="shared" si="44"/>
        <v>88598.86276569014</v>
      </c>
      <c r="K214" s="198">
        <f t="shared" si="38"/>
        <v>0</v>
      </c>
      <c r="L214" s="136">
        <f t="shared" si="36"/>
        <v>0</v>
      </c>
      <c r="M214" s="136">
        <v>0</v>
      </c>
    </row>
    <row r="215" spans="2:13" ht="12.75">
      <c r="B215" s="140">
        <f t="shared" si="37"/>
      </c>
      <c r="C215" s="141">
        <f t="shared" si="35"/>
        <v>201</v>
      </c>
      <c r="D215" s="142">
        <f t="shared" si="39"/>
        <v>44075</v>
      </c>
      <c r="E215" s="134">
        <f t="shared" si="40"/>
        <v>171401.13723431004</v>
      </c>
      <c r="F215" s="195">
        <f t="shared" si="34"/>
        <v>857.0056861715502</v>
      </c>
      <c r="G215" s="134">
        <f t="shared" si="41"/>
        <v>701.8256792256229</v>
      </c>
      <c r="H215" s="134">
        <f t="shared" si="42"/>
        <v>170699.31155508442</v>
      </c>
      <c r="I215" s="144">
        <f t="shared" si="43"/>
        <v>224024.41599991606</v>
      </c>
      <c r="J215" s="138">
        <f t="shared" si="44"/>
        <v>89300.68844491577</v>
      </c>
      <c r="K215" s="198">
        <f t="shared" si="38"/>
        <v>0</v>
      </c>
      <c r="L215" s="136">
        <f t="shared" si="36"/>
        <v>0</v>
      </c>
      <c r="M215" s="136">
        <v>0</v>
      </c>
    </row>
    <row r="216" spans="2:13" ht="12.75">
      <c r="B216" s="140">
        <f t="shared" si="37"/>
      </c>
      <c r="C216" s="141">
        <f t="shared" si="35"/>
        <v>202</v>
      </c>
      <c r="D216" s="142">
        <f t="shared" si="39"/>
        <v>44105</v>
      </c>
      <c r="E216" s="134">
        <f t="shared" si="40"/>
        <v>170699.31155508442</v>
      </c>
      <c r="F216" s="195">
        <f t="shared" si="34"/>
        <v>853.4965577754222</v>
      </c>
      <c r="G216" s="134">
        <f t="shared" si="41"/>
        <v>705.334807621751</v>
      </c>
      <c r="H216" s="134">
        <f t="shared" si="42"/>
        <v>169993.97674746267</v>
      </c>
      <c r="I216" s="144">
        <f t="shared" si="43"/>
        <v>224877.91255769148</v>
      </c>
      <c r="J216" s="138">
        <f t="shared" si="44"/>
        <v>90006.02325253752</v>
      </c>
      <c r="K216" s="198">
        <f t="shared" si="38"/>
        <v>0</v>
      </c>
      <c r="L216" s="136">
        <f t="shared" si="36"/>
        <v>0</v>
      </c>
      <c r="M216" s="136">
        <v>0</v>
      </c>
    </row>
    <row r="217" spans="2:13" ht="12.75">
      <c r="B217" s="140">
        <f t="shared" si="37"/>
      </c>
      <c r="C217" s="141">
        <f t="shared" si="35"/>
        <v>203</v>
      </c>
      <c r="D217" s="142">
        <f t="shared" si="39"/>
        <v>44136</v>
      </c>
      <c r="E217" s="134">
        <f t="shared" si="40"/>
        <v>169993.97674746267</v>
      </c>
      <c r="F217" s="195">
        <f t="shared" si="34"/>
        <v>849.9698837373134</v>
      </c>
      <c r="G217" s="134">
        <f t="shared" si="41"/>
        <v>708.8614816598598</v>
      </c>
      <c r="H217" s="134">
        <f t="shared" si="42"/>
        <v>169285.1152658028</v>
      </c>
      <c r="I217" s="144">
        <f t="shared" si="43"/>
        <v>225727.88244142878</v>
      </c>
      <c r="J217" s="138">
        <f t="shared" si="44"/>
        <v>90714.88473419737</v>
      </c>
      <c r="K217" s="198">
        <f t="shared" si="38"/>
        <v>0</v>
      </c>
      <c r="L217" s="136">
        <f t="shared" si="36"/>
        <v>0</v>
      </c>
      <c r="M217" s="136">
        <v>0</v>
      </c>
    </row>
    <row r="218" spans="2:13" ht="12.75">
      <c r="B218" s="140">
        <f t="shared" si="37"/>
      </c>
      <c r="C218" s="141">
        <f t="shared" si="35"/>
        <v>204</v>
      </c>
      <c r="D218" s="142">
        <f t="shared" si="39"/>
        <v>44166</v>
      </c>
      <c r="E218" s="134">
        <f t="shared" si="40"/>
        <v>169285.1152658028</v>
      </c>
      <c r="F218" s="195">
        <f t="shared" si="34"/>
        <v>846.425576329014</v>
      </c>
      <c r="G218" s="134">
        <f t="shared" si="41"/>
        <v>712.4057890681592</v>
      </c>
      <c r="H218" s="134">
        <f t="shared" si="42"/>
        <v>168572.70947673463</v>
      </c>
      <c r="I218" s="144">
        <f t="shared" si="43"/>
        <v>226574.3080177578</v>
      </c>
      <c r="J218" s="138">
        <f t="shared" si="44"/>
        <v>91427.29052326553</v>
      </c>
      <c r="K218" s="198">
        <f t="shared" si="38"/>
        <v>0</v>
      </c>
      <c r="L218" s="136">
        <f t="shared" si="36"/>
        <v>0</v>
      </c>
      <c r="M218" s="136">
        <v>0</v>
      </c>
    </row>
    <row r="219" spans="2:13" ht="12.75">
      <c r="B219" s="140" t="str">
        <f t="shared" si="37"/>
        <v>Year 18</v>
      </c>
      <c r="C219" s="141">
        <f t="shared" si="35"/>
        <v>205</v>
      </c>
      <c r="D219" s="142">
        <f t="shared" si="39"/>
        <v>44197</v>
      </c>
      <c r="E219" s="134">
        <f t="shared" si="40"/>
        <v>168572.70947673463</v>
      </c>
      <c r="F219" s="195">
        <f t="shared" si="34"/>
        <v>842.8635473836731</v>
      </c>
      <c r="G219" s="134">
        <f t="shared" si="41"/>
        <v>715.9678180135</v>
      </c>
      <c r="H219" s="134">
        <f t="shared" si="42"/>
        <v>167856.74165872112</v>
      </c>
      <c r="I219" s="144">
        <f t="shared" si="43"/>
        <v>227417.17156514147</v>
      </c>
      <c r="J219" s="138">
        <f t="shared" si="44"/>
        <v>92143.25834127903</v>
      </c>
      <c r="K219" s="198">
        <f t="shared" si="38"/>
        <v>0</v>
      </c>
      <c r="L219" s="136">
        <f t="shared" si="36"/>
        <v>0</v>
      </c>
      <c r="M219" s="136">
        <v>0</v>
      </c>
    </row>
    <row r="220" spans="2:13" ht="12.75">
      <c r="B220" s="140">
        <f t="shared" si="37"/>
      </c>
      <c r="C220" s="141">
        <f t="shared" si="35"/>
        <v>206</v>
      </c>
      <c r="D220" s="142">
        <f t="shared" si="39"/>
        <v>44228</v>
      </c>
      <c r="E220" s="134">
        <f t="shared" si="40"/>
        <v>167856.74165872112</v>
      </c>
      <c r="F220" s="195">
        <f t="shared" si="34"/>
        <v>839.2837082936056</v>
      </c>
      <c r="G220" s="134">
        <f t="shared" si="41"/>
        <v>719.5476571035675</v>
      </c>
      <c r="H220" s="134">
        <f t="shared" si="42"/>
        <v>167137.19400161755</v>
      </c>
      <c r="I220" s="144">
        <f t="shared" si="43"/>
        <v>228256.45527343507</v>
      </c>
      <c r="J220" s="138">
        <f t="shared" si="44"/>
        <v>92862.8059983826</v>
      </c>
      <c r="K220" s="198">
        <f t="shared" si="38"/>
        <v>0</v>
      </c>
      <c r="L220" s="136">
        <f t="shared" si="36"/>
        <v>0</v>
      </c>
      <c r="M220" s="136">
        <v>0</v>
      </c>
    </row>
    <row r="221" spans="2:13" ht="12.75">
      <c r="B221" s="140">
        <f t="shared" si="37"/>
      </c>
      <c r="C221" s="141">
        <f t="shared" si="35"/>
        <v>207</v>
      </c>
      <c r="D221" s="142">
        <f t="shared" si="39"/>
        <v>44256</v>
      </c>
      <c r="E221" s="134">
        <f t="shared" si="40"/>
        <v>167137.19400161755</v>
      </c>
      <c r="F221" s="195">
        <f t="shared" si="34"/>
        <v>835.6859700080878</v>
      </c>
      <c r="G221" s="134">
        <f t="shared" si="41"/>
        <v>723.1453953890854</v>
      </c>
      <c r="H221" s="134">
        <f t="shared" si="42"/>
        <v>166414.04860622846</v>
      </c>
      <c r="I221" s="144">
        <f t="shared" si="43"/>
        <v>229092.14124344315</v>
      </c>
      <c r="J221" s="138">
        <f t="shared" si="44"/>
        <v>93585.95139377168</v>
      </c>
      <c r="K221" s="198">
        <f t="shared" si="38"/>
        <v>0</v>
      </c>
      <c r="L221" s="136">
        <f t="shared" si="36"/>
        <v>0</v>
      </c>
      <c r="M221" s="136">
        <v>0</v>
      </c>
    </row>
    <row r="222" spans="2:13" ht="12.75">
      <c r="B222" s="140">
        <f t="shared" si="37"/>
      </c>
      <c r="C222" s="141">
        <f t="shared" si="35"/>
        <v>208</v>
      </c>
      <c r="D222" s="142">
        <f t="shared" si="39"/>
        <v>44287</v>
      </c>
      <c r="E222" s="134">
        <f t="shared" si="40"/>
        <v>166414.04860622846</v>
      </c>
      <c r="F222" s="195">
        <f t="shared" si="34"/>
        <v>832.0702430311424</v>
      </c>
      <c r="G222" s="134">
        <f t="shared" si="41"/>
        <v>726.7611223660308</v>
      </c>
      <c r="H222" s="134">
        <f t="shared" si="42"/>
        <v>165687.28748386243</v>
      </c>
      <c r="I222" s="144">
        <f t="shared" si="43"/>
        <v>229924.2114864743</v>
      </c>
      <c r="J222" s="138">
        <f t="shared" si="44"/>
        <v>94312.71251613772</v>
      </c>
      <c r="K222" s="198">
        <f t="shared" si="38"/>
        <v>0</v>
      </c>
      <c r="L222" s="136">
        <f t="shared" si="36"/>
        <v>0</v>
      </c>
      <c r="M222" s="136">
        <v>0</v>
      </c>
    </row>
    <row r="223" spans="2:13" ht="12.75">
      <c r="B223" s="140">
        <f t="shared" si="37"/>
      </c>
      <c r="C223" s="141">
        <f t="shared" si="35"/>
        <v>209</v>
      </c>
      <c r="D223" s="142">
        <f t="shared" si="39"/>
        <v>44317</v>
      </c>
      <c r="E223" s="134">
        <f t="shared" si="40"/>
        <v>165687.28748386243</v>
      </c>
      <c r="F223" s="195">
        <f t="shared" si="34"/>
        <v>828.4364374193121</v>
      </c>
      <c r="G223" s="134">
        <f t="shared" si="41"/>
        <v>730.394927977861</v>
      </c>
      <c r="H223" s="134">
        <f t="shared" si="42"/>
        <v>164956.89255588455</v>
      </c>
      <c r="I223" s="144">
        <f t="shared" si="43"/>
        <v>230752.64792389362</v>
      </c>
      <c r="J223" s="138">
        <f t="shared" si="44"/>
        <v>95043.10744411558</v>
      </c>
      <c r="K223" s="198">
        <f t="shared" si="38"/>
        <v>0</v>
      </c>
      <c r="L223" s="136">
        <f t="shared" si="36"/>
        <v>0</v>
      </c>
      <c r="M223" s="136">
        <v>0</v>
      </c>
    </row>
    <row r="224" spans="2:13" ht="12.75">
      <c r="B224" s="140">
        <f t="shared" si="37"/>
      </c>
      <c r="C224" s="141">
        <f t="shared" si="35"/>
        <v>210</v>
      </c>
      <c r="D224" s="142">
        <f t="shared" si="39"/>
        <v>44348</v>
      </c>
      <c r="E224" s="134">
        <f t="shared" si="40"/>
        <v>164956.89255588455</v>
      </c>
      <c r="F224" s="195">
        <f t="shared" si="34"/>
        <v>824.7844627794228</v>
      </c>
      <c r="G224" s="134">
        <f t="shared" si="41"/>
        <v>734.0469026177503</v>
      </c>
      <c r="H224" s="134">
        <f t="shared" si="42"/>
        <v>164222.8456532668</v>
      </c>
      <c r="I224" s="144">
        <f t="shared" si="43"/>
        <v>231577.43238667303</v>
      </c>
      <c r="J224" s="138">
        <f t="shared" si="44"/>
        <v>95777.15434673332</v>
      </c>
      <c r="K224" s="198">
        <f t="shared" si="38"/>
        <v>0</v>
      </c>
      <c r="L224" s="136">
        <f t="shared" si="36"/>
        <v>0</v>
      </c>
      <c r="M224" s="136">
        <v>0</v>
      </c>
    </row>
    <row r="225" spans="2:13" ht="12.75">
      <c r="B225" s="140">
        <f t="shared" si="37"/>
      </c>
      <c r="C225" s="141">
        <f t="shared" si="35"/>
        <v>211</v>
      </c>
      <c r="D225" s="142">
        <f t="shared" si="39"/>
        <v>44378</v>
      </c>
      <c r="E225" s="134">
        <f t="shared" si="40"/>
        <v>164222.8456532668</v>
      </c>
      <c r="F225" s="195">
        <f t="shared" si="34"/>
        <v>821.114228266334</v>
      </c>
      <c r="G225" s="134">
        <f t="shared" si="41"/>
        <v>737.7171371308392</v>
      </c>
      <c r="H225" s="134">
        <f t="shared" si="42"/>
        <v>163485.12851613594</v>
      </c>
      <c r="I225" s="144">
        <f t="shared" si="43"/>
        <v>232398.54661493935</v>
      </c>
      <c r="J225" s="138">
        <f t="shared" si="44"/>
        <v>96514.87148386416</v>
      </c>
      <c r="K225" s="198">
        <f t="shared" si="38"/>
        <v>0</v>
      </c>
      <c r="L225" s="136">
        <f t="shared" si="36"/>
        <v>0</v>
      </c>
      <c r="M225" s="136">
        <v>0</v>
      </c>
    </row>
    <row r="226" spans="2:13" ht="12.75">
      <c r="B226" s="140">
        <f t="shared" si="37"/>
      </c>
      <c r="C226" s="141">
        <f t="shared" si="35"/>
        <v>212</v>
      </c>
      <c r="D226" s="142">
        <f t="shared" si="39"/>
        <v>44409</v>
      </c>
      <c r="E226" s="134">
        <f t="shared" si="40"/>
        <v>163485.12851613594</v>
      </c>
      <c r="F226" s="195">
        <f aca="true" t="shared" si="45" ref="F226:F289">$E$6/$E$8*E226</f>
        <v>817.4256425806798</v>
      </c>
      <c r="G226" s="134">
        <f t="shared" si="41"/>
        <v>741.4057228164934</v>
      </c>
      <c r="H226" s="134">
        <f t="shared" si="42"/>
        <v>162743.72279331944</v>
      </c>
      <c r="I226" s="144">
        <f t="shared" si="43"/>
        <v>233215.97225752</v>
      </c>
      <c r="J226" s="138">
        <f t="shared" si="44"/>
        <v>97256.27720668065</v>
      </c>
      <c r="K226" s="198">
        <f t="shared" si="38"/>
        <v>0</v>
      </c>
      <c r="L226" s="136">
        <f t="shared" si="36"/>
        <v>0</v>
      </c>
      <c r="M226" s="136">
        <v>0</v>
      </c>
    </row>
    <row r="227" spans="2:13" ht="12.75">
      <c r="B227" s="140">
        <f t="shared" si="37"/>
      </c>
      <c r="C227" s="141">
        <f t="shared" si="35"/>
        <v>213</v>
      </c>
      <c r="D227" s="142">
        <f t="shared" si="39"/>
        <v>44440</v>
      </c>
      <c r="E227" s="134">
        <f t="shared" si="40"/>
        <v>162743.72279331944</v>
      </c>
      <c r="F227" s="195">
        <f t="shared" si="45"/>
        <v>813.7186139665972</v>
      </c>
      <c r="G227" s="134">
        <f t="shared" si="41"/>
        <v>745.1127514305759</v>
      </c>
      <c r="H227" s="134">
        <f t="shared" si="42"/>
        <v>161998.61004188887</v>
      </c>
      <c r="I227" s="144">
        <f t="shared" si="43"/>
        <v>234029.69087148661</v>
      </c>
      <c r="J227" s="138">
        <f t="shared" si="44"/>
        <v>98001.38995811122</v>
      </c>
      <c r="K227" s="198">
        <f t="shared" si="38"/>
        <v>0</v>
      </c>
      <c r="L227" s="136">
        <f t="shared" si="36"/>
        <v>0</v>
      </c>
      <c r="M227" s="136">
        <v>0</v>
      </c>
    </row>
    <row r="228" spans="2:13" ht="12.75">
      <c r="B228" s="140">
        <f t="shared" si="37"/>
      </c>
      <c r="C228" s="141">
        <f t="shared" si="35"/>
        <v>214</v>
      </c>
      <c r="D228" s="142">
        <f t="shared" si="39"/>
        <v>44470</v>
      </c>
      <c r="E228" s="134">
        <f t="shared" si="40"/>
        <v>161998.61004188887</v>
      </c>
      <c r="F228" s="195">
        <f t="shared" si="45"/>
        <v>809.9930502094444</v>
      </c>
      <c r="G228" s="134">
        <f t="shared" si="41"/>
        <v>748.8383151877288</v>
      </c>
      <c r="H228" s="134">
        <f t="shared" si="42"/>
        <v>161249.77172670115</v>
      </c>
      <c r="I228" s="144">
        <f t="shared" si="43"/>
        <v>234839.68392169607</v>
      </c>
      <c r="J228" s="138">
        <f t="shared" si="44"/>
        <v>98750.22827329896</v>
      </c>
      <c r="K228" s="198">
        <f t="shared" si="38"/>
        <v>0</v>
      </c>
      <c r="L228" s="136">
        <f t="shared" si="36"/>
        <v>0</v>
      </c>
      <c r="M228" s="136">
        <v>0</v>
      </c>
    </row>
    <row r="229" spans="2:13" ht="12.75">
      <c r="B229" s="140">
        <f t="shared" si="37"/>
      </c>
      <c r="C229" s="141">
        <f t="shared" si="35"/>
        <v>215</v>
      </c>
      <c r="D229" s="142">
        <f t="shared" si="39"/>
        <v>44501</v>
      </c>
      <c r="E229" s="134">
        <f t="shared" si="40"/>
        <v>161249.77172670115</v>
      </c>
      <c r="F229" s="195">
        <f t="shared" si="45"/>
        <v>806.2488586335057</v>
      </c>
      <c r="G229" s="134">
        <f t="shared" si="41"/>
        <v>752.5825067636674</v>
      </c>
      <c r="H229" s="134">
        <f t="shared" si="42"/>
        <v>160497.18921993749</v>
      </c>
      <c r="I229" s="144">
        <f t="shared" si="43"/>
        <v>235645.93278032957</v>
      </c>
      <c r="J229" s="138">
        <f t="shared" si="44"/>
        <v>99502.81078006262</v>
      </c>
      <c r="K229" s="198">
        <f t="shared" si="38"/>
        <v>0</v>
      </c>
      <c r="L229" s="136">
        <f t="shared" si="36"/>
        <v>0</v>
      </c>
      <c r="M229" s="136">
        <v>0</v>
      </c>
    </row>
    <row r="230" spans="2:13" ht="12.75">
      <c r="B230" s="140">
        <f t="shared" si="37"/>
      </c>
      <c r="C230" s="141">
        <f t="shared" si="35"/>
        <v>216</v>
      </c>
      <c r="D230" s="142">
        <f t="shared" si="39"/>
        <v>44531</v>
      </c>
      <c r="E230" s="134">
        <f t="shared" si="40"/>
        <v>160497.18921993749</v>
      </c>
      <c r="F230" s="195">
        <f t="shared" si="45"/>
        <v>802.4859460996875</v>
      </c>
      <c r="G230" s="134">
        <f t="shared" si="41"/>
        <v>756.3454192974857</v>
      </c>
      <c r="H230" s="134">
        <f t="shared" si="42"/>
        <v>159740.84380064</v>
      </c>
      <c r="I230" s="144">
        <f t="shared" si="43"/>
        <v>236448.41872642926</v>
      </c>
      <c r="J230" s="138">
        <f t="shared" si="44"/>
        <v>100259.1561993601</v>
      </c>
      <c r="K230" s="198">
        <f t="shared" si="38"/>
        <v>0</v>
      </c>
      <c r="L230" s="136">
        <f t="shared" si="36"/>
        <v>0</v>
      </c>
      <c r="M230" s="136">
        <v>0</v>
      </c>
    </row>
    <row r="231" spans="2:13" ht="12.75">
      <c r="B231" s="140" t="str">
        <f t="shared" si="37"/>
        <v>Year 19</v>
      </c>
      <c r="C231" s="141">
        <f t="shared" si="35"/>
        <v>217</v>
      </c>
      <c r="D231" s="142">
        <f t="shared" si="39"/>
        <v>44562</v>
      </c>
      <c r="E231" s="134">
        <f t="shared" si="40"/>
        <v>159740.84380064</v>
      </c>
      <c r="F231" s="195">
        <f t="shared" si="45"/>
        <v>798.7042190032</v>
      </c>
      <c r="G231" s="134">
        <f t="shared" si="41"/>
        <v>760.1271463939731</v>
      </c>
      <c r="H231" s="134">
        <f t="shared" si="42"/>
        <v>158980.71665424603</v>
      </c>
      <c r="I231" s="144">
        <f t="shared" si="43"/>
        <v>237247.12294543246</v>
      </c>
      <c r="J231" s="138">
        <f t="shared" si="44"/>
        <v>101019.28334575408</v>
      </c>
      <c r="K231" s="198">
        <f t="shared" si="38"/>
        <v>0</v>
      </c>
      <c r="L231" s="136">
        <f t="shared" si="36"/>
        <v>0</v>
      </c>
      <c r="M231" s="136">
        <v>0</v>
      </c>
    </row>
    <row r="232" spans="2:13" ht="12.75">
      <c r="B232" s="140">
        <f t="shared" si="37"/>
      </c>
      <c r="C232" s="141">
        <f t="shared" si="35"/>
        <v>218</v>
      </c>
      <c r="D232" s="142">
        <f t="shared" si="39"/>
        <v>44593</v>
      </c>
      <c r="E232" s="134">
        <f t="shared" si="40"/>
        <v>158980.71665424603</v>
      </c>
      <c r="F232" s="195">
        <f t="shared" si="45"/>
        <v>794.9035832712302</v>
      </c>
      <c r="G232" s="134">
        <f t="shared" si="41"/>
        <v>763.9277821259429</v>
      </c>
      <c r="H232" s="134">
        <f t="shared" si="42"/>
        <v>158216.7888721201</v>
      </c>
      <c r="I232" s="144">
        <f t="shared" si="43"/>
        <v>238042.0265287037</v>
      </c>
      <c r="J232" s="138">
        <f t="shared" si="44"/>
        <v>101783.21112788003</v>
      </c>
      <c r="K232" s="198">
        <f t="shared" si="38"/>
        <v>0</v>
      </c>
      <c r="L232" s="136">
        <f t="shared" si="36"/>
        <v>0</v>
      </c>
      <c r="M232" s="136">
        <v>0</v>
      </c>
    </row>
    <row r="233" spans="2:13" ht="12.75">
      <c r="B233" s="140">
        <f t="shared" si="37"/>
      </c>
      <c r="C233" s="141">
        <f t="shared" si="35"/>
        <v>219</v>
      </c>
      <c r="D233" s="142">
        <f t="shared" si="39"/>
        <v>44621</v>
      </c>
      <c r="E233" s="134">
        <f t="shared" si="40"/>
        <v>158216.7888721201</v>
      </c>
      <c r="F233" s="195">
        <f t="shared" si="45"/>
        <v>791.0839443606004</v>
      </c>
      <c r="G233" s="134">
        <f t="shared" si="41"/>
        <v>767.7474210365727</v>
      </c>
      <c r="H233" s="134">
        <f t="shared" si="42"/>
        <v>157449.04145108353</v>
      </c>
      <c r="I233" s="144">
        <f t="shared" si="43"/>
        <v>238833.1104730643</v>
      </c>
      <c r="J233" s="138">
        <f t="shared" si="44"/>
        <v>102550.9585489166</v>
      </c>
      <c r="K233" s="198">
        <f t="shared" si="38"/>
        <v>0</v>
      </c>
      <c r="L233" s="136">
        <f t="shared" si="36"/>
        <v>0</v>
      </c>
      <c r="M233" s="136">
        <v>0</v>
      </c>
    </row>
    <row r="234" spans="2:13" ht="12.75">
      <c r="B234" s="140">
        <f t="shared" si="37"/>
      </c>
      <c r="C234" s="141">
        <f t="shared" si="35"/>
        <v>220</v>
      </c>
      <c r="D234" s="142">
        <f t="shared" si="39"/>
        <v>44652</v>
      </c>
      <c r="E234" s="134">
        <f t="shared" si="40"/>
        <v>157449.04145108353</v>
      </c>
      <c r="F234" s="195">
        <f t="shared" si="45"/>
        <v>787.2452072554177</v>
      </c>
      <c r="G234" s="134">
        <f t="shared" si="41"/>
        <v>771.5861581417555</v>
      </c>
      <c r="H234" s="134">
        <f t="shared" si="42"/>
        <v>156677.45529294177</v>
      </c>
      <c r="I234" s="144">
        <f t="shared" si="43"/>
        <v>239620.3556803197</v>
      </c>
      <c r="J234" s="138">
        <f t="shared" si="44"/>
        <v>103322.54470705836</v>
      </c>
      <c r="K234" s="198">
        <f t="shared" si="38"/>
        <v>0</v>
      </c>
      <c r="L234" s="136">
        <f t="shared" si="36"/>
        <v>0</v>
      </c>
      <c r="M234" s="136">
        <v>0</v>
      </c>
    </row>
    <row r="235" spans="2:13" ht="12.75">
      <c r="B235" s="140">
        <f t="shared" si="37"/>
      </c>
      <c r="C235" s="141">
        <f t="shared" si="35"/>
        <v>221</v>
      </c>
      <c r="D235" s="142">
        <f t="shared" si="39"/>
        <v>44682</v>
      </c>
      <c r="E235" s="134">
        <f t="shared" si="40"/>
        <v>156677.45529294177</v>
      </c>
      <c r="F235" s="195">
        <f t="shared" si="45"/>
        <v>783.3872764647089</v>
      </c>
      <c r="G235" s="134">
        <f t="shared" si="41"/>
        <v>775.4440889324643</v>
      </c>
      <c r="H235" s="134">
        <f t="shared" si="42"/>
        <v>155902.0112040093</v>
      </c>
      <c r="I235" s="144">
        <f t="shared" si="43"/>
        <v>240403.7429567844</v>
      </c>
      <c r="J235" s="138">
        <f t="shared" si="44"/>
        <v>104097.98879599082</v>
      </c>
      <c r="K235" s="198">
        <f t="shared" si="38"/>
        <v>0</v>
      </c>
      <c r="L235" s="136">
        <f t="shared" si="36"/>
        <v>0</v>
      </c>
      <c r="M235" s="136">
        <v>0</v>
      </c>
    </row>
    <row r="236" spans="2:13" ht="12.75">
      <c r="B236" s="140">
        <f t="shared" si="37"/>
      </c>
      <c r="C236" s="141">
        <f t="shared" si="35"/>
        <v>222</v>
      </c>
      <c r="D236" s="142">
        <f t="shared" si="39"/>
        <v>44713</v>
      </c>
      <c r="E236" s="134">
        <f t="shared" si="40"/>
        <v>155902.0112040093</v>
      </c>
      <c r="F236" s="195">
        <f t="shared" si="45"/>
        <v>779.5100560200465</v>
      </c>
      <c r="G236" s="134">
        <f t="shared" si="41"/>
        <v>779.3213093771267</v>
      </c>
      <c r="H236" s="134">
        <f t="shared" si="42"/>
        <v>155122.68989463217</v>
      </c>
      <c r="I236" s="144">
        <f t="shared" si="43"/>
        <v>241183.25301280446</v>
      </c>
      <c r="J236" s="138">
        <f t="shared" si="44"/>
        <v>104877.31010536796</v>
      </c>
      <c r="K236" s="198">
        <f t="shared" si="38"/>
        <v>0</v>
      </c>
      <c r="L236" s="136">
        <f t="shared" si="36"/>
        <v>0</v>
      </c>
      <c r="M236" s="136">
        <v>0</v>
      </c>
    </row>
    <row r="237" spans="2:13" ht="12.75">
      <c r="B237" s="140">
        <f t="shared" si="37"/>
      </c>
      <c r="C237" s="141">
        <f t="shared" si="35"/>
        <v>223</v>
      </c>
      <c r="D237" s="142">
        <f t="shared" si="39"/>
        <v>44743</v>
      </c>
      <c r="E237" s="134">
        <f t="shared" si="40"/>
        <v>155122.68989463217</v>
      </c>
      <c r="F237" s="195">
        <f t="shared" si="45"/>
        <v>775.6134494731609</v>
      </c>
      <c r="G237" s="134">
        <f t="shared" si="41"/>
        <v>783.2179159240122</v>
      </c>
      <c r="H237" s="134">
        <f t="shared" si="42"/>
        <v>154339.47197870817</v>
      </c>
      <c r="I237" s="144">
        <f t="shared" si="43"/>
        <v>241958.86646227763</v>
      </c>
      <c r="J237" s="138">
        <f t="shared" si="44"/>
        <v>105660.52802129198</v>
      </c>
      <c r="K237" s="198">
        <f t="shared" si="38"/>
        <v>0</v>
      </c>
      <c r="L237" s="136">
        <f t="shared" si="36"/>
        <v>0</v>
      </c>
      <c r="M237" s="136">
        <v>0</v>
      </c>
    </row>
    <row r="238" spans="2:13" ht="12.75">
      <c r="B238" s="140">
        <f t="shared" si="37"/>
      </c>
      <c r="C238" s="141">
        <f t="shared" si="35"/>
        <v>224</v>
      </c>
      <c r="D238" s="142">
        <f t="shared" si="39"/>
        <v>44774</v>
      </c>
      <c r="E238" s="134">
        <f t="shared" si="40"/>
        <v>154339.47197870817</v>
      </c>
      <c r="F238" s="195">
        <f t="shared" si="45"/>
        <v>771.6973598935409</v>
      </c>
      <c r="G238" s="134">
        <f t="shared" si="41"/>
        <v>787.1340055036322</v>
      </c>
      <c r="H238" s="134">
        <f t="shared" si="42"/>
        <v>153552.33797320453</v>
      </c>
      <c r="I238" s="144">
        <f t="shared" si="43"/>
        <v>242730.56382217116</v>
      </c>
      <c r="J238" s="138">
        <f t="shared" si="44"/>
        <v>106447.6620267956</v>
      </c>
      <c r="K238" s="198">
        <f t="shared" si="38"/>
        <v>0</v>
      </c>
      <c r="L238" s="136">
        <f t="shared" si="36"/>
        <v>0</v>
      </c>
      <c r="M238" s="136">
        <v>0</v>
      </c>
    </row>
    <row r="239" spans="2:13" ht="12.75">
      <c r="B239" s="140">
        <f t="shared" si="37"/>
      </c>
      <c r="C239" s="141">
        <f t="shared" si="35"/>
        <v>225</v>
      </c>
      <c r="D239" s="142">
        <f t="shared" si="39"/>
        <v>44805</v>
      </c>
      <c r="E239" s="134">
        <f t="shared" si="40"/>
        <v>153552.33797320453</v>
      </c>
      <c r="F239" s="195">
        <f t="shared" si="45"/>
        <v>767.7616898660226</v>
      </c>
      <c r="G239" s="134">
        <f t="shared" si="41"/>
        <v>791.0696755311506</v>
      </c>
      <c r="H239" s="134">
        <f t="shared" si="42"/>
        <v>152761.26829767338</v>
      </c>
      <c r="I239" s="144">
        <f t="shared" si="43"/>
        <v>243498.32551203718</v>
      </c>
      <c r="J239" s="138">
        <f t="shared" si="44"/>
        <v>107238.73170232675</v>
      </c>
      <c r="K239" s="198">
        <f t="shared" si="38"/>
        <v>0</v>
      </c>
      <c r="L239" s="136">
        <f t="shared" si="36"/>
        <v>0</v>
      </c>
      <c r="M239" s="136">
        <v>0</v>
      </c>
    </row>
    <row r="240" spans="2:13" ht="12.75">
      <c r="B240" s="140">
        <f t="shared" si="37"/>
      </c>
      <c r="C240" s="141">
        <f t="shared" si="35"/>
        <v>226</v>
      </c>
      <c r="D240" s="142">
        <f t="shared" si="39"/>
        <v>44835</v>
      </c>
      <c r="E240" s="134">
        <f t="shared" si="40"/>
        <v>152761.26829767338</v>
      </c>
      <c r="F240" s="195">
        <f t="shared" si="45"/>
        <v>763.8063414883669</v>
      </c>
      <c r="G240" s="134">
        <f t="shared" si="41"/>
        <v>795.0250239088062</v>
      </c>
      <c r="H240" s="134">
        <f t="shared" si="42"/>
        <v>151966.24327376456</v>
      </c>
      <c r="I240" s="144">
        <f t="shared" si="43"/>
        <v>244262.13185352556</v>
      </c>
      <c r="J240" s="138">
        <f t="shared" si="44"/>
        <v>108033.75672623556</v>
      </c>
      <c r="K240" s="198">
        <f t="shared" si="38"/>
        <v>0</v>
      </c>
      <c r="L240" s="136">
        <f t="shared" si="36"/>
        <v>0</v>
      </c>
      <c r="M240" s="136">
        <v>0</v>
      </c>
    </row>
    <row r="241" spans="2:13" ht="12.75">
      <c r="B241" s="140">
        <f t="shared" si="37"/>
      </c>
      <c r="C241" s="141">
        <f t="shared" si="35"/>
        <v>227</v>
      </c>
      <c r="D241" s="142">
        <f t="shared" si="39"/>
        <v>44866</v>
      </c>
      <c r="E241" s="134">
        <f t="shared" si="40"/>
        <v>151966.24327376456</v>
      </c>
      <c r="F241" s="195">
        <f t="shared" si="45"/>
        <v>759.8312163688228</v>
      </c>
      <c r="G241" s="134">
        <f t="shared" si="41"/>
        <v>799.0001490283504</v>
      </c>
      <c r="H241" s="134">
        <f t="shared" si="42"/>
        <v>151167.2431247362</v>
      </c>
      <c r="I241" s="144">
        <f t="shared" si="43"/>
        <v>245021.96306989438</v>
      </c>
      <c r="J241" s="138">
        <f t="shared" si="44"/>
        <v>108832.7568752639</v>
      </c>
      <c r="K241" s="198">
        <f t="shared" si="38"/>
        <v>0</v>
      </c>
      <c r="L241" s="136">
        <f t="shared" si="36"/>
        <v>0</v>
      </c>
      <c r="M241" s="136">
        <v>0</v>
      </c>
    </row>
    <row r="242" spans="2:13" ht="12.75">
      <c r="B242" s="140">
        <f t="shared" si="37"/>
      </c>
      <c r="C242" s="141">
        <f t="shared" si="35"/>
        <v>228</v>
      </c>
      <c r="D242" s="142">
        <f t="shared" si="39"/>
        <v>44896</v>
      </c>
      <c r="E242" s="134">
        <f t="shared" si="40"/>
        <v>151167.2431247362</v>
      </c>
      <c r="F242" s="195">
        <f t="shared" si="45"/>
        <v>755.836215623681</v>
      </c>
      <c r="G242" s="134">
        <f t="shared" si="41"/>
        <v>802.9951497734921</v>
      </c>
      <c r="H242" s="134">
        <f t="shared" si="42"/>
        <v>150364.24797496272</v>
      </c>
      <c r="I242" s="144">
        <f t="shared" si="43"/>
        <v>245777.79928551806</v>
      </c>
      <c r="J242" s="138">
        <f t="shared" si="44"/>
        <v>109635.7520250374</v>
      </c>
      <c r="K242" s="198">
        <f t="shared" si="38"/>
        <v>0</v>
      </c>
      <c r="L242" s="136">
        <f t="shared" si="36"/>
        <v>0</v>
      </c>
      <c r="M242" s="136">
        <v>0</v>
      </c>
    </row>
    <row r="243" spans="2:13" ht="12.75">
      <c r="B243" s="140" t="str">
        <f t="shared" si="37"/>
        <v>Year 20</v>
      </c>
      <c r="C243" s="141">
        <f t="shared" si="35"/>
        <v>229</v>
      </c>
      <c r="D243" s="142">
        <f t="shared" si="39"/>
        <v>44927</v>
      </c>
      <c r="E243" s="134">
        <f t="shared" si="40"/>
        <v>150364.24797496272</v>
      </c>
      <c r="F243" s="195">
        <f t="shared" si="45"/>
        <v>751.8212398748136</v>
      </c>
      <c r="G243" s="134">
        <f t="shared" si="41"/>
        <v>807.0101255223595</v>
      </c>
      <c r="H243" s="134">
        <f t="shared" si="42"/>
        <v>149557.23784944037</v>
      </c>
      <c r="I243" s="144">
        <f t="shared" si="43"/>
        <v>246529.62052539288</v>
      </c>
      <c r="J243" s="138">
        <f t="shared" si="44"/>
        <v>110442.76215055975</v>
      </c>
      <c r="K243" s="198">
        <f t="shared" si="38"/>
        <v>0</v>
      </c>
      <c r="L243" s="136">
        <f t="shared" si="36"/>
        <v>0</v>
      </c>
      <c r="M243" s="136">
        <v>0</v>
      </c>
    </row>
    <row r="244" spans="2:13" ht="12.75">
      <c r="B244" s="140">
        <f t="shared" si="37"/>
      </c>
      <c r="C244" s="141">
        <f t="shared" si="35"/>
        <v>230</v>
      </c>
      <c r="D244" s="142">
        <f t="shared" si="39"/>
        <v>44958</v>
      </c>
      <c r="E244" s="134">
        <f t="shared" si="40"/>
        <v>149557.23784944037</v>
      </c>
      <c r="F244" s="195">
        <f t="shared" si="45"/>
        <v>747.7861892472018</v>
      </c>
      <c r="G244" s="134">
        <f t="shared" si="41"/>
        <v>811.0451761499713</v>
      </c>
      <c r="H244" s="134">
        <f t="shared" si="42"/>
        <v>148746.1926732904</v>
      </c>
      <c r="I244" s="144">
        <f t="shared" si="43"/>
        <v>247277.4067146401</v>
      </c>
      <c r="J244" s="138">
        <f t="shared" si="44"/>
        <v>111253.80732670972</v>
      </c>
      <c r="K244" s="198">
        <f t="shared" si="38"/>
        <v>0</v>
      </c>
      <c r="L244" s="136">
        <f t="shared" si="36"/>
        <v>0</v>
      </c>
      <c r="M244" s="136">
        <v>0</v>
      </c>
    </row>
    <row r="245" spans="2:13" ht="12.75">
      <c r="B245" s="140">
        <f t="shared" si="37"/>
      </c>
      <c r="C245" s="141">
        <f t="shared" si="35"/>
        <v>231</v>
      </c>
      <c r="D245" s="142">
        <f t="shared" si="39"/>
        <v>44986</v>
      </c>
      <c r="E245" s="134">
        <f t="shared" si="40"/>
        <v>148746.1926732904</v>
      </c>
      <c r="F245" s="195">
        <f t="shared" si="45"/>
        <v>743.7309633664521</v>
      </c>
      <c r="G245" s="134">
        <f t="shared" si="41"/>
        <v>815.100402030721</v>
      </c>
      <c r="H245" s="134">
        <f t="shared" si="42"/>
        <v>147931.0922712597</v>
      </c>
      <c r="I245" s="144">
        <f t="shared" si="43"/>
        <v>248021.13767800655</v>
      </c>
      <c r="J245" s="138">
        <f t="shared" si="44"/>
        <v>112068.90772874044</v>
      </c>
      <c r="K245" s="198">
        <f t="shared" si="38"/>
        <v>0</v>
      </c>
      <c r="L245" s="136">
        <f t="shared" si="36"/>
        <v>0</v>
      </c>
      <c r="M245" s="136">
        <v>0</v>
      </c>
    </row>
    <row r="246" spans="2:13" ht="12.75">
      <c r="B246" s="140">
        <f t="shared" si="37"/>
      </c>
      <c r="C246" s="141">
        <f t="shared" si="35"/>
        <v>232</v>
      </c>
      <c r="D246" s="142">
        <f t="shared" si="39"/>
        <v>45017</v>
      </c>
      <c r="E246" s="134">
        <f t="shared" si="40"/>
        <v>147931.0922712597</v>
      </c>
      <c r="F246" s="195">
        <f t="shared" si="45"/>
        <v>739.6554613562985</v>
      </c>
      <c r="G246" s="134">
        <f t="shared" si="41"/>
        <v>819.1759040408747</v>
      </c>
      <c r="H246" s="134">
        <f t="shared" si="42"/>
        <v>147111.91636721883</v>
      </c>
      <c r="I246" s="144">
        <f t="shared" si="43"/>
        <v>248760.79313936285</v>
      </c>
      <c r="J246" s="138">
        <f t="shared" si="44"/>
        <v>112888.08363278132</v>
      </c>
      <c r="K246" s="198">
        <f t="shared" si="38"/>
        <v>0</v>
      </c>
      <c r="L246" s="136">
        <f t="shared" si="36"/>
        <v>0</v>
      </c>
      <c r="M246" s="136">
        <v>0</v>
      </c>
    </row>
    <row r="247" spans="2:13" ht="12.75">
      <c r="B247" s="140">
        <f t="shared" si="37"/>
      </c>
      <c r="C247" s="141">
        <f t="shared" si="35"/>
        <v>233</v>
      </c>
      <c r="D247" s="142">
        <f t="shared" si="39"/>
        <v>45047</v>
      </c>
      <c r="E247" s="134">
        <f t="shared" si="40"/>
        <v>147111.91636721883</v>
      </c>
      <c r="F247" s="195">
        <f t="shared" si="45"/>
        <v>735.5595818360941</v>
      </c>
      <c r="G247" s="134">
        <f t="shared" si="41"/>
        <v>823.271783561079</v>
      </c>
      <c r="H247" s="134">
        <f t="shared" si="42"/>
        <v>146288.64458365776</v>
      </c>
      <c r="I247" s="144">
        <f t="shared" si="43"/>
        <v>249496.35272119896</v>
      </c>
      <c r="J247" s="138">
        <f t="shared" si="44"/>
        <v>113711.3554163424</v>
      </c>
      <c r="K247" s="198">
        <f t="shared" si="38"/>
        <v>0</v>
      </c>
      <c r="L247" s="136">
        <f t="shared" si="36"/>
        <v>0</v>
      </c>
      <c r="M247" s="136">
        <v>0</v>
      </c>
    </row>
    <row r="248" spans="2:13" ht="12.75">
      <c r="B248" s="140">
        <f t="shared" si="37"/>
      </c>
      <c r="C248" s="141">
        <f t="shared" si="35"/>
        <v>234</v>
      </c>
      <c r="D248" s="142">
        <f t="shared" si="39"/>
        <v>45078</v>
      </c>
      <c r="E248" s="134">
        <f t="shared" si="40"/>
        <v>146288.64458365776</v>
      </c>
      <c r="F248" s="195">
        <f t="shared" si="45"/>
        <v>731.4432229182888</v>
      </c>
      <c r="G248" s="134">
        <f t="shared" si="41"/>
        <v>827.3881424788843</v>
      </c>
      <c r="H248" s="134">
        <f t="shared" si="42"/>
        <v>145461.25644117888</v>
      </c>
      <c r="I248" s="144">
        <f t="shared" si="43"/>
        <v>250227.79594411724</v>
      </c>
      <c r="J248" s="138">
        <f t="shared" si="44"/>
        <v>114538.74355882128</v>
      </c>
      <c r="K248" s="198">
        <f t="shared" si="38"/>
        <v>0</v>
      </c>
      <c r="L248" s="136">
        <f t="shared" si="36"/>
        <v>0</v>
      </c>
      <c r="M248" s="136">
        <v>0</v>
      </c>
    </row>
    <row r="249" spans="2:13" ht="12.75">
      <c r="B249" s="140">
        <f t="shared" si="37"/>
      </c>
      <c r="C249" s="141">
        <f t="shared" si="35"/>
        <v>235</v>
      </c>
      <c r="D249" s="142">
        <f t="shared" si="39"/>
        <v>45108</v>
      </c>
      <c r="E249" s="134">
        <f t="shared" si="40"/>
        <v>145461.25644117888</v>
      </c>
      <c r="F249" s="195">
        <f t="shared" si="45"/>
        <v>727.3062822058944</v>
      </c>
      <c r="G249" s="134">
        <f t="shared" si="41"/>
        <v>831.5250831912788</v>
      </c>
      <c r="H249" s="134">
        <f t="shared" si="42"/>
        <v>144629.7313579876</v>
      </c>
      <c r="I249" s="144">
        <f t="shared" si="43"/>
        <v>250955.10222632313</v>
      </c>
      <c r="J249" s="138">
        <f t="shared" si="44"/>
        <v>115370.26864201257</v>
      </c>
      <c r="K249" s="198">
        <f t="shared" si="38"/>
        <v>0</v>
      </c>
      <c r="L249" s="136">
        <f t="shared" si="36"/>
        <v>0</v>
      </c>
      <c r="M249" s="136">
        <v>0</v>
      </c>
    </row>
    <row r="250" spans="2:13" ht="12.75">
      <c r="B250" s="140">
        <f t="shared" si="37"/>
      </c>
      <c r="C250" s="141">
        <f t="shared" si="35"/>
        <v>236</v>
      </c>
      <c r="D250" s="142">
        <f t="shared" si="39"/>
        <v>45139</v>
      </c>
      <c r="E250" s="134">
        <f t="shared" si="40"/>
        <v>144629.7313579876</v>
      </c>
      <c r="F250" s="195">
        <f t="shared" si="45"/>
        <v>723.148656789938</v>
      </c>
      <c r="G250" s="134">
        <f t="shared" si="41"/>
        <v>835.6827086072352</v>
      </c>
      <c r="H250" s="134">
        <f t="shared" si="42"/>
        <v>143794.04864938036</v>
      </c>
      <c r="I250" s="144">
        <f t="shared" si="43"/>
        <v>251678.25088311307</v>
      </c>
      <c r="J250" s="138">
        <f t="shared" si="44"/>
        <v>116205.9513506198</v>
      </c>
      <c r="K250" s="198">
        <f t="shared" si="38"/>
        <v>0</v>
      </c>
      <c r="L250" s="136">
        <f t="shared" si="36"/>
        <v>0</v>
      </c>
      <c r="M250" s="136">
        <v>0</v>
      </c>
    </row>
    <row r="251" spans="2:13" ht="12.75">
      <c r="B251" s="140">
        <f t="shared" si="37"/>
      </c>
      <c r="C251" s="141">
        <f t="shared" si="35"/>
        <v>237</v>
      </c>
      <c r="D251" s="142">
        <f t="shared" si="39"/>
        <v>45170</v>
      </c>
      <c r="E251" s="134">
        <f t="shared" si="40"/>
        <v>143794.04864938036</v>
      </c>
      <c r="F251" s="195">
        <f t="shared" si="45"/>
        <v>718.9702432469019</v>
      </c>
      <c r="G251" s="134">
        <f t="shared" si="41"/>
        <v>839.8611221502713</v>
      </c>
      <c r="H251" s="134">
        <f t="shared" si="42"/>
        <v>142954.1875272301</v>
      </c>
      <c r="I251" s="144">
        <f t="shared" si="43"/>
        <v>252397.22112635997</v>
      </c>
      <c r="J251" s="138">
        <f t="shared" si="44"/>
        <v>117045.81247277006</v>
      </c>
      <c r="K251" s="198">
        <f t="shared" si="38"/>
        <v>0</v>
      </c>
      <c r="L251" s="136">
        <f t="shared" si="36"/>
        <v>0</v>
      </c>
      <c r="M251" s="136">
        <v>0</v>
      </c>
    </row>
    <row r="252" spans="2:13" ht="12.75">
      <c r="B252" s="140">
        <f t="shared" si="37"/>
      </c>
      <c r="C252" s="141">
        <f t="shared" si="35"/>
        <v>238</v>
      </c>
      <c r="D252" s="142">
        <f t="shared" si="39"/>
        <v>45200</v>
      </c>
      <c r="E252" s="134">
        <f t="shared" si="40"/>
        <v>142954.1875272301</v>
      </c>
      <c r="F252" s="195">
        <f t="shared" si="45"/>
        <v>714.7709376361505</v>
      </c>
      <c r="G252" s="134">
        <f t="shared" si="41"/>
        <v>844.0604277610227</v>
      </c>
      <c r="H252" s="134">
        <f t="shared" si="42"/>
        <v>142110.12709946907</v>
      </c>
      <c r="I252" s="144">
        <f t="shared" si="43"/>
        <v>253111.99206399612</v>
      </c>
      <c r="J252" s="138">
        <f t="shared" si="44"/>
        <v>117889.87290053109</v>
      </c>
      <c r="K252" s="198">
        <f t="shared" si="38"/>
        <v>0</v>
      </c>
      <c r="L252" s="136">
        <f t="shared" si="36"/>
        <v>0</v>
      </c>
      <c r="M252" s="136">
        <v>0</v>
      </c>
    </row>
    <row r="253" spans="2:13" ht="12.75">
      <c r="B253" s="140">
        <f t="shared" si="37"/>
      </c>
      <c r="C253" s="141">
        <f t="shared" si="35"/>
        <v>239</v>
      </c>
      <c r="D253" s="142">
        <f t="shared" si="39"/>
        <v>45231</v>
      </c>
      <c r="E253" s="134">
        <f t="shared" si="40"/>
        <v>142110.12709946907</v>
      </c>
      <c r="F253" s="195">
        <f t="shared" si="45"/>
        <v>710.5506354973454</v>
      </c>
      <c r="G253" s="134">
        <f t="shared" si="41"/>
        <v>848.2807298998277</v>
      </c>
      <c r="H253" s="134">
        <f t="shared" si="42"/>
        <v>141261.84636956925</v>
      </c>
      <c r="I253" s="144">
        <f t="shared" si="43"/>
        <v>253822.54269949347</v>
      </c>
      <c r="J253" s="138">
        <f t="shared" si="44"/>
        <v>118738.15363043091</v>
      </c>
      <c r="K253" s="198">
        <f t="shared" si="38"/>
        <v>0</v>
      </c>
      <c r="L253" s="136">
        <f t="shared" si="36"/>
        <v>0</v>
      </c>
      <c r="M253" s="136">
        <v>0</v>
      </c>
    </row>
    <row r="254" spans="2:13" ht="12.75">
      <c r="B254" s="140">
        <f t="shared" si="37"/>
      </c>
      <c r="C254" s="141">
        <f t="shared" si="35"/>
        <v>240</v>
      </c>
      <c r="D254" s="142">
        <f t="shared" si="39"/>
        <v>45261</v>
      </c>
      <c r="E254" s="134">
        <f t="shared" si="40"/>
        <v>141261.84636956925</v>
      </c>
      <c r="F254" s="195">
        <f t="shared" si="45"/>
        <v>706.3092318478463</v>
      </c>
      <c r="G254" s="134">
        <f t="shared" si="41"/>
        <v>852.5221335493269</v>
      </c>
      <c r="H254" s="134">
        <f t="shared" si="42"/>
        <v>140409.32423601992</v>
      </c>
      <c r="I254" s="144">
        <f t="shared" si="43"/>
        <v>254528.8519313413</v>
      </c>
      <c r="J254" s="138">
        <f t="shared" si="44"/>
        <v>119590.67576398024</v>
      </c>
      <c r="K254" s="198">
        <f t="shared" si="38"/>
        <v>0</v>
      </c>
      <c r="L254" s="136">
        <f t="shared" si="36"/>
        <v>0</v>
      </c>
      <c r="M254" s="136">
        <v>0</v>
      </c>
    </row>
    <row r="255" spans="2:13" ht="12.75">
      <c r="B255" s="140" t="str">
        <f t="shared" si="37"/>
        <v>Year 21</v>
      </c>
      <c r="C255" s="141">
        <f t="shared" si="35"/>
        <v>241</v>
      </c>
      <c r="D255" s="142">
        <f t="shared" si="39"/>
        <v>45292</v>
      </c>
      <c r="E255" s="134">
        <f t="shared" si="40"/>
        <v>140409.32423601992</v>
      </c>
      <c r="F255" s="195">
        <f t="shared" si="45"/>
        <v>702.0466211800996</v>
      </c>
      <c r="G255" s="134">
        <f t="shared" si="41"/>
        <v>856.7847442170736</v>
      </c>
      <c r="H255" s="134">
        <f t="shared" si="42"/>
        <v>139552.53949180286</v>
      </c>
      <c r="I255" s="144">
        <f t="shared" si="43"/>
        <v>255230.89855252142</v>
      </c>
      <c r="J255" s="138">
        <f t="shared" si="44"/>
        <v>120447.46050819731</v>
      </c>
      <c r="K255" s="198">
        <f t="shared" si="38"/>
        <v>0</v>
      </c>
      <c r="L255" s="136">
        <f t="shared" si="36"/>
        <v>0</v>
      </c>
      <c r="M255" s="136">
        <v>0</v>
      </c>
    </row>
    <row r="256" spans="2:13" ht="12.75">
      <c r="B256" s="140">
        <f t="shared" si="37"/>
      </c>
      <c r="C256" s="141">
        <f t="shared" si="35"/>
        <v>242</v>
      </c>
      <c r="D256" s="142">
        <f t="shared" si="39"/>
        <v>45323</v>
      </c>
      <c r="E256" s="134">
        <f t="shared" si="40"/>
        <v>139552.53949180286</v>
      </c>
      <c r="F256" s="195">
        <f t="shared" si="45"/>
        <v>697.7626974590144</v>
      </c>
      <c r="G256" s="134">
        <f t="shared" si="41"/>
        <v>861.0686679381588</v>
      </c>
      <c r="H256" s="134">
        <f t="shared" si="42"/>
        <v>138691.4708238647</v>
      </c>
      <c r="I256" s="144">
        <f t="shared" si="43"/>
        <v>255928.66124998045</v>
      </c>
      <c r="J256" s="138">
        <f t="shared" si="44"/>
        <v>121308.52917613547</v>
      </c>
      <c r="K256" s="198">
        <f t="shared" si="38"/>
        <v>0</v>
      </c>
      <c r="L256" s="136">
        <f t="shared" si="36"/>
        <v>0</v>
      </c>
      <c r="M256" s="136">
        <v>0</v>
      </c>
    </row>
    <row r="257" spans="2:13" ht="12.75">
      <c r="B257" s="140">
        <f t="shared" si="37"/>
      </c>
      <c r="C257" s="141">
        <f t="shared" si="35"/>
        <v>243</v>
      </c>
      <c r="D257" s="142">
        <f t="shared" si="39"/>
        <v>45352</v>
      </c>
      <c r="E257" s="134">
        <f t="shared" si="40"/>
        <v>138691.4708238647</v>
      </c>
      <c r="F257" s="195">
        <f t="shared" si="45"/>
        <v>693.4573541193236</v>
      </c>
      <c r="G257" s="134">
        <f t="shared" si="41"/>
        <v>865.3740112778496</v>
      </c>
      <c r="H257" s="134">
        <f t="shared" si="42"/>
        <v>137826.09681258685</v>
      </c>
      <c r="I257" s="144">
        <f t="shared" si="43"/>
        <v>256622.11860409976</v>
      </c>
      <c r="J257" s="138">
        <f t="shared" si="44"/>
        <v>122173.90318741332</v>
      </c>
      <c r="K257" s="198">
        <f t="shared" si="38"/>
        <v>0</v>
      </c>
      <c r="L257" s="136">
        <f t="shared" si="36"/>
        <v>0</v>
      </c>
      <c r="M257" s="136">
        <v>0</v>
      </c>
    </row>
    <row r="258" spans="2:13" ht="12.75">
      <c r="B258" s="140">
        <f t="shared" si="37"/>
      </c>
      <c r="C258" s="141">
        <f t="shared" si="35"/>
        <v>244</v>
      </c>
      <c r="D258" s="142">
        <f t="shared" si="39"/>
        <v>45383</v>
      </c>
      <c r="E258" s="134">
        <f t="shared" si="40"/>
        <v>137826.09681258685</v>
      </c>
      <c r="F258" s="195">
        <f t="shared" si="45"/>
        <v>689.1304840629343</v>
      </c>
      <c r="G258" s="134">
        <f t="shared" si="41"/>
        <v>869.7008813342388</v>
      </c>
      <c r="H258" s="134">
        <f t="shared" si="42"/>
        <v>136956.39593125263</v>
      </c>
      <c r="I258" s="144">
        <f t="shared" si="43"/>
        <v>257311.2490881627</v>
      </c>
      <c r="J258" s="138">
        <f t="shared" si="44"/>
        <v>123043.60406874756</v>
      </c>
      <c r="K258" s="198">
        <f t="shared" si="38"/>
        <v>0</v>
      </c>
      <c r="L258" s="136">
        <f t="shared" si="36"/>
        <v>0</v>
      </c>
      <c r="M258" s="136">
        <v>0</v>
      </c>
    </row>
    <row r="259" spans="2:13" ht="12.75">
      <c r="B259" s="140">
        <f t="shared" si="37"/>
      </c>
      <c r="C259" s="141">
        <f t="shared" si="35"/>
        <v>245</v>
      </c>
      <c r="D259" s="142">
        <f t="shared" si="39"/>
        <v>45413</v>
      </c>
      <c r="E259" s="134">
        <f t="shared" si="40"/>
        <v>136956.39593125263</v>
      </c>
      <c r="F259" s="195">
        <f t="shared" si="45"/>
        <v>684.7819796562632</v>
      </c>
      <c r="G259" s="134">
        <f t="shared" si="41"/>
        <v>874.04938574091</v>
      </c>
      <c r="H259" s="134">
        <f t="shared" si="42"/>
        <v>136082.3465455117</v>
      </c>
      <c r="I259" s="144">
        <f t="shared" si="43"/>
        <v>257996.03106781896</v>
      </c>
      <c r="J259" s="138">
        <f t="shared" si="44"/>
        <v>123917.65345448848</v>
      </c>
      <c r="K259" s="198">
        <f t="shared" si="38"/>
        <v>0</v>
      </c>
      <c r="L259" s="136">
        <f t="shared" si="36"/>
        <v>0</v>
      </c>
      <c r="M259" s="136">
        <v>0</v>
      </c>
    </row>
    <row r="260" spans="2:13" ht="12.75">
      <c r="B260" s="140">
        <f t="shared" si="37"/>
      </c>
      <c r="C260" s="141">
        <f t="shared" si="35"/>
        <v>246</v>
      </c>
      <c r="D260" s="142">
        <f t="shared" si="39"/>
        <v>45444</v>
      </c>
      <c r="E260" s="134">
        <f t="shared" si="40"/>
        <v>136082.3465455117</v>
      </c>
      <c r="F260" s="195">
        <f t="shared" si="45"/>
        <v>680.4117327275586</v>
      </c>
      <c r="G260" s="134">
        <f t="shared" si="41"/>
        <v>878.4196326696145</v>
      </c>
      <c r="H260" s="134">
        <f t="shared" si="42"/>
        <v>135203.9269128421</v>
      </c>
      <c r="I260" s="144">
        <f t="shared" si="43"/>
        <v>258676.4428005465</v>
      </c>
      <c r="J260" s="138">
        <f t="shared" si="44"/>
        <v>124796.07308715809</v>
      </c>
      <c r="K260" s="198">
        <f t="shared" si="38"/>
        <v>0</v>
      </c>
      <c r="L260" s="136">
        <f t="shared" si="36"/>
        <v>0</v>
      </c>
      <c r="M260" s="136">
        <v>0</v>
      </c>
    </row>
    <row r="261" spans="2:13" ht="12.75">
      <c r="B261" s="140">
        <f t="shared" si="37"/>
      </c>
      <c r="C261" s="141">
        <f t="shared" si="35"/>
        <v>247</v>
      </c>
      <c r="D261" s="142">
        <f t="shared" si="39"/>
        <v>45474</v>
      </c>
      <c r="E261" s="134">
        <f t="shared" si="40"/>
        <v>135203.9269128421</v>
      </c>
      <c r="F261" s="195">
        <f t="shared" si="45"/>
        <v>676.0196345642105</v>
      </c>
      <c r="G261" s="134">
        <f t="shared" si="41"/>
        <v>882.8117308329627</v>
      </c>
      <c r="H261" s="134">
        <f t="shared" si="42"/>
        <v>134321.11518200912</v>
      </c>
      <c r="I261" s="144">
        <f t="shared" si="43"/>
        <v>259352.4624351107</v>
      </c>
      <c r="J261" s="138">
        <f t="shared" si="44"/>
        <v>125678.88481799106</v>
      </c>
      <c r="K261" s="198">
        <f t="shared" si="38"/>
        <v>0</v>
      </c>
      <c r="L261" s="136">
        <f t="shared" si="36"/>
        <v>0</v>
      </c>
      <c r="M261" s="136">
        <v>0</v>
      </c>
    </row>
    <row r="262" spans="2:13" ht="12.75">
      <c r="B262" s="140">
        <f t="shared" si="37"/>
      </c>
      <c r="C262" s="141">
        <f t="shared" si="35"/>
        <v>248</v>
      </c>
      <c r="D262" s="142">
        <f t="shared" si="39"/>
        <v>45505</v>
      </c>
      <c r="E262" s="134">
        <f t="shared" si="40"/>
        <v>134321.11518200912</v>
      </c>
      <c r="F262" s="195">
        <f t="shared" si="45"/>
        <v>671.6055759100456</v>
      </c>
      <c r="G262" s="134">
        <f t="shared" si="41"/>
        <v>887.2257894871276</v>
      </c>
      <c r="H262" s="134">
        <f t="shared" si="42"/>
        <v>133433.889392522</v>
      </c>
      <c r="I262" s="144">
        <f t="shared" si="43"/>
        <v>260024.06801102075</v>
      </c>
      <c r="J262" s="138">
        <f t="shared" si="44"/>
        <v>126566.11060747819</v>
      </c>
      <c r="K262" s="198">
        <f t="shared" si="38"/>
        <v>0</v>
      </c>
      <c r="L262" s="136">
        <f t="shared" si="36"/>
        <v>0</v>
      </c>
      <c r="M262" s="136">
        <v>0</v>
      </c>
    </row>
    <row r="263" spans="2:13" ht="12.75">
      <c r="B263" s="140">
        <f t="shared" si="37"/>
      </c>
      <c r="C263" s="141">
        <f t="shared" si="35"/>
        <v>249</v>
      </c>
      <c r="D263" s="142">
        <f t="shared" si="39"/>
        <v>45536</v>
      </c>
      <c r="E263" s="134">
        <f t="shared" si="40"/>
        <v>133433.889392522</v>
      </c>
      <c r="F263" s="195">
        <f t="shared" si="45"/>
        <v>667.16944696261</v>
      </c>
      <c r="G263" s="134">
        <f t="shared" si="41"/>
        <v>891.6619184345632</v>
      </c>
      <c r="H263" s="134">
        <f t="shared" si="42"/>
        <v>132542.2274740874</v>
      </c>
      <c r="I263" s="144">
        <f t="shared" si="43"/>
        <v>260691.23745798337</v>
      </c>
      <c r="J263" s="138">
        <f t="shared" si="44"/>
        <v>127457.77252591275</v>
      </c>
      <c r="K263" s="198">
        <f t="shared" si="38"/>
        <v>0</v>
      </c>
      <c r="L263" s="136">
        <f t="shared" si="36"/>
        <v>0</v>
      </c>
      <c r="M263" s="136">
        <v>0</v>
      </c>
    </row>
    <row r="264" spans="2:13" ht="12.75">
      <c r="B264" s="140">
        <f t="shared" si="37"/>
      </c>
      <c r="C264" s="141">
        <f t="shared" si="35"/>
        <v>250</v>
      </c>
      <c r="D264" s="142">
        <f t="shared" si="39"/>
        <v>45566</v>
      </c>
      <c r="E264" s="134">
        <f t="shared" si="40"/>
        <v>132542.2274740874</v>
      </c>
      <c r="F264" s="195">
        <f t="shared" si="45"/>
        <v>662.7111373704371</v>
      </c>
      <c r="G264" s="134">
        <f t="shared" si="41"/>
        <v>896.1202280267361</v>
      </c>
      <c r="H264" s="134">
        <f t="shared" si="42"/>
        <v>131646.10724606068</v>
      </c>
      <c r="I264" s="144">
        <f t="shared" si="43"/>
        <v>261353.9485953538</v>
      </c>
      <c r="J264" s="138">
        <f t="shared" si="44"/>
        <v>128353.89275393948</v>
      </c>
      <c r="K264" s="198">
        <f t="shared" si="38"/>
        <v>0</v>
      </c>
      <c r="L264" s="136">
        <f t="shared" si="36"/>
        <v>0</v>
      </c>
      <c r="M264" s="136">
        <v>0</v>
      </c>
    </row>
    <row r="265" spans="2:13" ht="12.75">
      <c r="B265" s="140">
        <f t="shared" si="37"/>
      </c>
      <c r="C265" s="141">
        <f t="shared" si="35"/>
        <v>251</v>
      </c>
      <c r="D265" s="142">
        <f t="shared" si="39"/>
        <v>45597</v>
      </c>
      <c r="E265" s="134">
        <f t="shared" si="40"/>
        <v>131646.10724606068</v>
      </c>
      <c r="F265" s="195">
        <f t="shared" si="45"/>
        <v>658.2305362303034</v>
      </c>
      <c r="G265" s="134">
        <f t="shared" si="41"/>
        <v>900.6008291668697</v>
      </c>
      <c r="H265" s="134">
        <f t="shared" si="42"/>
        <v>130745.50641689381</v>
      </c>
      <c r="I265" s="144">
        <f t="shared" si="43"/>
        <v>262012.17913158413</v>
      </c>
      <c r="J265" s="138">
        <f t="shared" si="44"/>
        <v>129254.49358310635</v>
      </c>
      <c r="K265" s="198">
        <f t="shared" si="38"/>
        <v>0</v>
      </c>
      <c r="L265" s="136">
        <f t="shared" si="36"/>
        <v>0</v>
      </c>
      <c r="M265" s="136">
        <v>0</v>
      </c>
    </row>
    <row r="266" spans="2:13" ht="12.75">
      <c r="B266" s="140">
        <f t="shared" si="37"/>
      </c>
      <c r="C266" s="141">
        <f aca="true" t="shared" si="46" ref="C266:C329">C265+1</f>
        <v>252</v>
      </c>
      <c r="D266" s="142">
        <f t="shared" si="39"/>
        <v>45627</v>
      </c>
      <c r="E266" s="134">
        <f t="shared" si="40"/>
        <v>130745.50641689381</v>
      </c>
      <c r="F266" s="195">
        <f t="shared" si="45"/>
        <v>653.7275320844691</v>
      </c>
      <c r="G266" s="134">
        <f t="shared" si="41"/>
        <v>905.1038333127041</v>
      </c>
      <c r="H266" s="134">
        <f t="shared" si="42"/>
        <v>129840.4025835811</v>
      </c>
      <c r="I266" s="144">
        <f t="shared" si="43"/>
        <v>262665.9066636686</v>
      </c>
      <c r="J266" s="138">
        <f t="shared" si="44"/>
        <v>130159.59741641906</v>
      </c>
      <c r="K266" s="198">
        <f t="shared" si="38"/>
        <v>0</v>
      </c>
      <c r="L266" s="136">
        <f t="shared" si="36"/>
        <v>0</v>
      </c>
      <c r="M266" s="136">
        <v>0</v>
      </c>
    </row>
    <row r="267" spans="2:13" ht="12.75">
      <c r="B267" s="140" t="str">
        <f t="shared" si="37"/>
        <v>Year 22</v>
      </c>
      <c r="C267" s="141">
        <f t="shared" si="46"/>
        <v>253</v>
      </c>
      <c r="D267" s="142">
        <f t="shared" si="39"/>
        <v>45658</v>
      </c>
      <c r="E267" s="134">
        <f t="shared" si="40"/>
        <v>129840.4025835811</v>
      </c>
      <c r="F267" s="195">
        <f t="shared" si="45"/>
        <v>649.2020129179056</v>
      </c>
      <c r="G267" s="134">
        <f t="shared" si="41"/>
        <v>909.6293524792676</v>
      </c>
      <c r="H267" s="134">
        <f t="shared" si="42"/>
        <v>128930.77323110183</v>
      </c>
      <c r="I267" s="144">
        <f t="shared" si="43"/>
        <v>263315.1086765865</v>
      </c>
      <c r="J267" s="138">
        <f t="shared" si="44"/>
        <v>131069.22676889833</v>
      </c>
      <c r="K267" s="198">
        <f t="shared" si="38"/>
        <v>0</v>
      </c>
      <c r="L267" s="136">
        <f aca="true" t="shared" si="47" ref="L267:L330">L266</f>
        <v>0</v>
      </c>
      <c r="M267" s="136">
        <v>0</v>
      </c>
    </row>
    <row r="268" spans="2:13" ht="12.75">
      <c r="B268" s="140">
        <f t="shared" si="37"/>
      </c>
      <c r="C268" s="141">
        <f t="shared" si="46"/>
        <v>254</v>
      </c>
      <c r="D268" s="142">
        <f t="shared" si="39"/>
        <v>45689</v>
      </c>
      <c r="E268" s="134">
        <f t="shared" si="40"/>
        <v>128930.77323110183</v>
      </c>
      <c r="F268" s="195">
        <f t="shared" si="45"/>
        <v>644.6538661555091</v>
      </c>
      <c r="G268" s="134">
        <f t="shared" si="41"/>
        <v>914.177499241664</v>
      </c>
      <c r="H268" s="134">
        <f t="shared" si="42"/>
        <v>128016.59573186017</v>
      </c>
      <c r="I268" s="144">
        <f t="shared" si="43"/>
        <v>263959.76254274196</v>
      </c>
      <c r="J268" s="138">
        <f t="shared" si="44"/>
        <v>131983.40426814</v>
      </c>
      <c r="K268" s="198">
        <f t="shared" si="38"/>
        <v>0</v>
      </c>
      <c r="L268" s="136">
        <f t="shared" si="47"/>
        <v>0</v>
      </c>
      <c r="M268" s="136">
        <v>0</v>
      </c>
    </row>
    <row r="269" spans="2:13" ht="12.75">
      <c r="B269" s="140">
        <f t="shared" si="37"/>
      </c>
      <c r="C269" s="141">
        <f t="shared" si="46"/>
        <v>255</v>
      </c>
      <c r="D269" s="142">
        <f t="shared" si="39"/>
        <v>45717</v>
      </c>
      <c r="E269" s="134">
        <f t="shared" si="40"/>
        <v>128016.59573186017</v>
      </c>
      <c r="F269" s="195">
        <f t="shared" si="45"/>
        <v>640.0829786593009</v>
      </c>
      <c r="G269" s="134">
        <f t="shared" si="41"/>
        <v>918.7483867378722</v>
      </c>
      <c r="H269" s="134">
        <f t="shared" si="42"/>
        <v>127097.8473451223</v>
      </c>
      <c r="I269" s="144">
        <f t="shared" si="43"/>
        <v>264599.84552140126</v>
      </c>
      <c r="J269" s="138">
        <f t="shared" si="44"/>
        <v>132902.15265487786</v>
      </c>
      <c r="K269" s="198">
        <f t="shared" si="38"/>
        <v>0</v>
      </c>
      <c r="L269" s="136">
        <f t="shared" si="47"/>
        <v>0</v>
      </c>
      <c r="M269" s="136">
        <v>0</v>
      </c>
    </row>
    <row r="270" spans="2:13" ht="12.75">
      <c r="B270" s="140">
        <f t="shared" si="37"/>
      </c>
      <c r="C270" s="141">
        <f t="shared" si="46"/>
        <v>256</v>
      </c>
      <c r="D270" s="142">
        <f t="shared" si="39"/>
        <v>45748</v>
      </c>
      <c r="E270" s="134">
        <f t="shared" si="40"/>
        <v>127097.8473451223</v>
      </c>
      <c r="F270" s="195">
        <f t="shared" si="45"/>
        <v>635.4892367256115</v>
      </c>
      <c r="G270" s="134">
        <f t="shared" si="41"/>
        <v>923.3421286715617</v>
      </c>
      <c r="H270" s="134">
        <f t="shared" si="42"/>
        <v>126174.50521645074</v>
      </c>
      <c r="I270" s="144">
        <f t="shared" si="43"/>
        <v>265235.3347581269</v>
      </c>
      <c r="J270" s="138">
        <f t="shared" si="44"/>
        <v>133825.49478354942</v>
      </c>
      <c r="K270" s="198">
        <f t="shared" si="38"/>
        <v>0</v>
      </c>
      <c r="L270" s="136">
        <f t="shared" si="47"/>
        <v>0</v>
      </c>
      <c r="M270" s="136">
        <v>0</v>
      </c>
    </row>
    <row r="271" spans="2:13" ht="12.75">
      <c r="B271" s="140">
        <f aca="true" t="shared" si="48" ref="B271:B334">IF((C271-1)/12=TRUNC((C271-1)/12),"Year "&amp;(C271-1)/12+1,"")</f>
      </c>
      <c r="C271" s="141">
        <f t="shared" si="46"/>
        <v>257</v>
      </c>
      <c r="D271" s="142">
        <f t="shared" si="39"/>
        <v>45778</v>
      </c>
      <c r="E271" s="134">
        <f t="shared" si="40"/>
        <v>126174.50521645074</v>
      </c>
      <c r="F271" s="195">
        <f t="shared" si="45"/>
        <v>630.8725260822537</v>
      </c>
      <c r="G271" s="134">
        <f t="shared" si="41"/>
        <v>927.9588393149195</v>
      </c>
      <c r="H271" s="134">
        <f t="shared" si="42"/>
        <v>125246.54637713582</v>
      </c>
      <c r="I271" s="144">
        <f t="shared" si="43"/>
        <v>265866.20728420914</v>
      </c>
      <c r="J271" s="138">
        <f t="shared" si="44"/>
        <v>134753.45362286436</v>
      </c>
      <c r="K271" s="198">
        <f aca="true" t="shared" si="49" ref="K271:K334">L271+M271</f>
        <v>0</v>
      </c>
      <c r="L271" s="136">
        <f t="shared" si="47"/>
        <v>0</v>
      </c>
      <c r="M271" s="136">
        <v>0</v>
      </c>
    </row>
    <row r="272" spans="2:13" ht="12.75">
      <c r="B272" s="140">
        <f t="shared" si="48"/>
      </c>
      <c r="C272" s="141">
        <f t="shared" si="46"/>
        <v>258</v>
      </c>
      <c r="D272" s="142">
        <f aca="true" t="shared" si="50" ref="D272:D335">DATE(YEAR(D271),MONTH(D271)+1,DAY(D271))</f>
        <v>45809</v>
      </c>
      <c r="E272" s="134">
        <f aca="true" t="shared" si="51" ref="E272:E335">IF(no_of_payments&gt;=C272,H271,0)</f>
        <v>125246.54637713582</v>
      </c>
      <c r="F272" s="195">
        <f t="shared" si="45"/>
        <v>626.2327318856791</v>
      </c>
      <c r="G272" s="134">
        <f aca="true" t="shared" si="52" ref="G272:G335">IF(H271-G271&lt;=0,H271,$E$10-F272)</f>
        <v>932.5986335114941</v>
      </c>
      <c r="H272" s="134">
        <f aca="true" t="shared" si="53" ref="H272:H335">IF(E272-G272-K271&gt;=0,E272-G272-K271,0)</f>
        <v>124313.94774362432</v>
      </c>
      <c r="I272" s="144">
        <f aca="true" t="shared" si="54" ref="I272:I335">I271+F272</f>
        <v>266492.4400160948</v>
      </c>
      <c r="J272" s="138">
        <f aca="true" t="shared" si="55" ref="J272:J335">J271+G272</f>
        <v>135686.05225637584</v>
      </c>
      <c r="K272" s="198">
        <f t="shared" si="49"/>
        <v>0</v>
      </c>
      <c r="L272" s="136">
        <f t="shared" si="47"/>
        <v>0</v>
      </c>
      <c r="M272" s="136">
        <v>0</v>
      </c>
    </row>
    <row r="273" spans="2:13" ht="12.75">
      <c r="B273" s="140">
        <f t="shared" si="48"/>
      </c>
      <c r="C273" s="141">
        <f t="shared" si="46"/>
        <v>259</v>
      </c>
      <c r="D273" s="142">
        <f t="shared" si="50"/>
        <v>45839</v>
      </c>
      <c r="E273" s="134">
        <f t="shared" si="51"/>
        <v>124313.94774362432</v>
      </c>
      <c r="F273" s="195">
        <f t="shared" si="45"/>
        <v>621.5697387181216</v>
      </c>
      <c r="G273" s="134">
        <f t="shared" si="52"/>
        <v>937.2616266790516</v>
      </c>
      <c r="H273" s="134">
        <f t="shared" si="53"/>
        <v>123376.68611694526</v>
      </c>
      <c r="I273" s="144">
        <f t="shared" si="54"/>
        <v>267114.0097548129</v>
      </c>
      <c r="J273" s="138">
        <f t="shared" si="55"/>
        <v>136623.31388305489</v>
      </c>
      <c r="K273" s="198">
        <f t="shared" si="49"/>
        <v>0</v>
      </c>
      <c r="L273" s="136">
        <f t="shared" si="47"/>
        <v>0</v>
      </c>
      <c r="M273" s="136">
        <v>0</v>
      </c>
    </row>
    <row r="274" spans="2:13" ht="12.75">
      <c r="B274" s="140">
        <f t="shared" si="48"/>
      </c>
      <c r="C274" s="141">
        <f t="shared" si="46"/>
        <v>260</v>
      </c>
      <c r="D274" s="142">
        <f t="shared" si="50"/>
        <v>45870</v>
      </c>
      <c r="E274" s="134">
        <f t="shared" si="51"/>
        <v>123376.68611694526</v>
      </c>
      <c r="F274" s="195">
        <f t="shared" si="45"/>
        <v>616.8834305847263</v>
      </c>
      <c r="G274" s="134">
        <f t="shared" si="52"/>
        <v>941.9479348124469</v>
      </c>
      <c r="H274" s="134">
        <f t="shared" si="53"/>
        <v>122434.73818213282</v>
      </c>
      <c r="I274" s="144">
        <f t="shared" si="54"/>
        <v>267730.89318539767</v>
      </c>
      <c r="J274" s="138">
        <f t="shared" si="55"/>
        <v>137565.26181786734</v>
      </c>
      <c r="K274" s="198">
        <f t="shared" si="49"/>
        <v>0</v>
      </c>
      <c r="L274" s="136">
        <f t="shared" si="47"/>
        <v>0</v>
      </c>
      <c r="M274" s="136">
        <v>0</v>
      </c>
    </row>
    <row r="275" spans="2:13" ht="12.75">
      <c r="B275" s="140">
        <f t="shared" si="48"/>
      </c>
      <c r="C275" s="141">
        <f t="shared" si="46"/>
        <v>261</v>
      </c>
      <c r="D275" s="142">
        <f t="shared" si="50"/>
        <v>45901</v>
      </c>
      <c r="E275" s="134">
        <f t="shared" si="51"/>
        <v>122434.73818213282</v>
      </c>
      <c r="F275" s="195">
        <f t="shared" si="45"/>
        <v>612.173690910664</v>
      </c>
      <c r="G275" s="134">
        <f t="shared" si="52"/>
        <v>946.6576744865091</v>
      </c>
      <c r="H275" s="134">
        <f t="shared" si="53"/>
        <v>121488.0805076463</v>
      </c>
      <c r="I275" s="144">
        <f t="shared" si="54"/>
        <v>268343.06687630835</v>
      </c>
      <c r="J275" s="138">
        <f t="shared" si="55"/>
        <v>138511.91949235386</v>
      </c>
      <c r="K275" s="198">
        <f t="shared" si="49"/>
        <v>0</v>
      </c>
      <c r="L275" s="136">
        <f t="shared" si="47"/>
        <v>0</v>
      </c>
      <c r="M275" s="136">
        <v>0</v>
      </c>
    </row>
    <row r="276" spans="2:13" ht="12.75">
      <c r="B276" s="140">
        <f t="shared" si="48"/>
      </c>
      <c r="C276" s="141">
        <f t="shared" si="46"/>
        <v>262</v>
      </c>
      <c r="D276" s="142">
        <f t="shared" si="50"/>
        <v>45931</v>
      </c>
      <c r="E276" s="134">
        <f t="shared" si="51"/>
        <v>121488.0805076463</v>
      </c>
      <c r="F276" s="195">
        <f t="shared" si="45"/>
        <v>607.4404025382315</v>
      </c>
      <c r="G276" s="134">
        <f t="shared" si="52"/>
        <v>951.3909628589416</v>
      </c>
      <c r="H276" s="134">
        <f t="shared" si="53"/>
        <v>120536.68954478735</v>
      </c>
      <c r="I276" s="144">
        <f t="shared" si="54"/>
        <v>268950.5072788466</v>
      </c>
      <c r="J276" s="138">
        <f t="shared" si="55"/>
        <v>139463.3104552128</v>
      </c>
      <c r="K276" s="198">
        <f t="shared" si="49"/>
        <v>0</v>
      </c>
      <c r="L276" s="136">
        <f t="shared" si="47"/>
        <v>0</v>
      </c>
      <c r="M276" s="136">
        <v>0</v>
      </c>
    </row>
    <row r="277" spans="2:13" ht="12.75">
      <c r="B277" s="140">
        <f t="shared" si="48"/>
      </c>
      <c r="C277" s="141">
        <f t="shared" si="46"/>
        <v>263</v>
      </c>
      <c r="D277" s="142">
        <f t="shared" si="50"/>
        <v>45962</v>
      </c>
      <c r="E277" s="134">
        <f t="shared" si="51"/>
        <v>120536.68954478735</v>
      </c>
      <c r="F277" s="195">
        <f t="shared" si="45"/>
        <v>602.6834477239368</v>
      </c>
      <c r="G277" s="134">
        <f t="shared" si="52"/>
        <v>956.1479176732364</v>
      </c>
      <c r="H277" s="134">
        <f t="shared" si="53"/>
        <v>119580.54162711411</v>
      </c>
      <c r="I277" s="144">
        <f t="shared" si="54"/>
        <v>269553.1907265705</v>
      </c>
      <c r="J277" s="138">
        <f t="shared" si="55"/>
        <v>140419.45837288603</v>
      </c>
      <c r="K277" s="198">
        <f t="shared" si="49"/>
        <v>0</v>
      </c>
      <c r="L277" s="136">
        <f t="shared" si="47"/>
        <v>0</v>
      </c>
      <c r="M277" s="136">
        <v>0</v>
      </c>
    </row>
    <row r="278" spans="2:13" ht="12.75">
      <c r="B278" s="140">
        <f t="shared" si="48"/>
      </c>
      <c r="C278" s="141">
        <f t="shared" si="46"/>
        <v>264</v>
      </c>
      <c r="D278" s="142">
        <f t="shared" si="50"/>
        <v>45992</v>
      </c>
      <c r="E278" s="134">
        <f t="shared" si="51"/>
        <v>119580.54162711411</v>
      </c>
      <c r="F278" s="195">
        <f t="shared" si="45"/>
        <v>597.9027081355706</v>
      </c>
      <c r="G278" s="134">
        <f t="shared" si="52"/>
        <v>960.9286572616026</v>
      </c>
      <c r="H278" s="134">
        <f t="shared" si="53"/>
        <v>118619.61296985252</v>
      </c>
      <c r="I278" s="144">
        <f t="shared" si="54"/>
        <v>270151.09343470604</v>
      </c>
      <c r="J278" s="138">
        <f t="shared" si="55"/>
        <v>141380.38703014763</v>
      </c>
      <c r="K278" s="198">
        <f t="shared" si="49"/>
        <v>0</v>
      </c>
      <c r="L278" s="136">
        <f t="shared" si="47"/>
        <v>0</v>
      </c>
      <c r="M278" s="136">
        <v>0</v>
      </c>
    </row>
    <row r="279" spans="2:13" ht="12.75">
      <c r="B279" s="140" t="str">
        <f t="shared" si="48"/>
        <v>Year 23</v>
      </c>
      <c r="C279" s="141">
        <f t="shared" si="46"/>
        <v>265</v>
      </c>
      <c r="D279" s="142">
        <f t="shared" si="50"/>
        <v>46023</v>
      </c>
      <c r="E279" s="134">
        <f t="shared" si="51"/>
        <v>118619.61296985252</v>
      </c>
      <c r="F279" s="195">
        <f t="shared" si="45"/>
        <v>593.0980648492626</v>
      </c>
      <c r="G279" s="134">
        <f t="shared" si="52"/>
        <v>965.7333005479105</v>
      </c>
      <c r="H279" s="134">
        <f t="shared" si="53"/>
        <v>117653.8796693046</v>
      </c>
      <c r="I279" s="144">
        <f t="shared" si="54"/>
        <v>270744.1914995553</v>
      </c>
      <c r="J279" s="138">
        <f t="shared" si="55"/>
        <v>142346.12033069553</v>
      </c>
      <c r="K279" s="198">
        <f t="shared" si="49"/>
        <v>0</v>
      </c>
      <c r="L279" s="136">
        <f t="shared" si="47"/>
        <v>0</v>
      </c>
      <c r="M279" s="136">
        <v>0</v>
      </c>
    </row>
    <row r="280" spans="2:13" ht="12.75">
      <c r="B280" s="140">
        <f t="shared" si="48"/>
      </c>
      <c r="C280" s="141">
        <f t="shared" si="46"/>
        <v>266</v>
      </c>
      <c r="D280" s="142">
        <f t="shared" si="50"/>
        <v>46054</v>
      </c>
      <c r="E280" s="134">
        <f t="shared" si="51"/>
        <v>117653.8796693046</v>
      </c>
      <c r="F280" s="195">
        <f t="shared" si="45"/>
        <v>588.2693983465231</v>
      </c>
      <c r="G280" s="134">
        <f t="shared" si="52"/>
        <v>970.5619670506501</v>
      </c>
      <c r="H280" s="134">
        <f t="shared" si="53"/>
        <v>116683.31770225395</v>
      </c>
      <c r="I280" s="144">
        <f t="shared" si="54"/>
        <v>271332.46089790185</v>
      </c>
      <c r="J280" s="138">
        <f t="shared" si="55"/>
        <v>143316.68229774619</v>
      </c>
      <c r="K280" s="198">
        <f t="shared" si="49"/>
        <v>0</v>
      </c>
      <c r="L280" s="136">
        <f t="shared" si="47"/>
        <v>0</v>
      </c>
      <c r="M280" s="136">
        <v>0</v>
      </c>
    </row>
    <row r="281" spans="2:13" ht="12.75">
      <c r="B281" s="140">
        <f t="shared" si="48"/>
      </c>
      <c r="C281" s="141">
        <f t="shared" si="46"/>
        <v>267</v>
      </c>
      <c r="D281" s="142">
        <f t="shared" si="50"/>
        <v>46082</v>
      </c>
      <c r="E281" s="134">
        <f t="shared" si="51"/>
        <v>116683.31770225395</v>
      </c>
      <c r="F281" s="195">
        <f t="shared" si="45"/>
        <v>583.4165885112698</v>
      </c>
      <c r="G281" s="134">
        <f t="shared" si="52"/>
        <v>975.4147768859034</v>
      </c>
      <c r="H281" s="134">
        <f t="shared" si="53"/>
        <v>115707.90292536805</v>
      </c>
      <c r="I281" s="144">
        <f t="shared" si="54"/>
        <v>271915.8774864131</v>
      </c>
      <c r="J281" s="138">
        <f t="shared" si="55"/>
        <v>144292.0970746321</v>
      </c>
      <c r="K281" s="198">
        <f t="shared" si="49"/>
        <v>0</v>
      </c>
      <c r="L281" s="136">
        <f t="shared" si="47"/>
        <v>0</v>
      </c>
      <c r="M281" s="136">
        <v>0</v>
      </c>
    </row>
    <row r="282" spans="2:13" ht="12.75">
      <c r="B282" s="140">
        <f t="shared" si="48"/>
      </c>
      <c r="C282" s="141">
        <f t="shared" si="46"/>
        <v>268</v>
      </c>
      <c r="D282" s="142">
        <f t="shared" si="50"/>
        <v>46113</v>
      </c>
      <c r="E282" s="134">
        <f t="shared" si="51"/>
        <v>115707.90292536805</v>
      </c>
      <c r="F282" s="195">
        <f t="shared" si="45"/>
        <v>578.5395146268403</v>
      </c>
      <c r="G282" s="134">
        <f t="shared" si="52"/>
        <v>980.2918507703329</v>
      </c>
      <c r="H282" s="134">
        <f t="shared" si="53"/>
        <v>114727.61107459772</v>
      </c>
      <c r="I282" s="144">
        <f t="shared" si="54"/>
        <v>272494.41700103995</v>
      </c>
      <c r="J282" s="138">
        <f t="shared" si="55"/>
        <v>145272.38892540243</v>
      </c>
      <c r="K282" s="198">
        <f t="shared" si="49"/>
        <v>0</v>
      </c>
      <c r="L282" s="136">
        <f t="shared" si="47"/>
        <v>0</v>
      </c>
      <c r="M282" s="136">
        <v>0</v>
      </c>
    </row>
    <row r="283" spans="2:13" ht="12.75">
      <c r="B283" s="140">
        <f t="shared" si="48"/>
      </c>
      <c r="C283" s="141">
        <f t="shared" si="46"/>
        <v>269</v>
      </c>
      <c r="D283" s="142">
        <f t="shared" si="50"/>
        <v>46143</v>
      </c>
      <c r="E283" s="134">
        <f t="shared" si="51"/>
        <v>114727.61107459772</v>
      </c>
      <c r="F283" s="195">
        <f t="shared" si="45"/>
        <v>573.6380553729886</v>
      </c>
      <c r="G283" s="134">
        <f t="shared" si="52"/>
        <v>985.1933100241846</v>
      </c>
      <c r="H283" s="134">
        <f t="shared" si="53"/>
        <v>113742.41776457353</v>
      </c>
      <c r="I283" s="144">
        <f t="shared" si="54"/>
        <v>273068.05505641294</v>
      </c>
      <c r="J283" s="138">
        <f t="shared" si="55"/>
        <v>146257.5822354266</v>
      </c>
      <c r="K283" s="198">
        <f t="shared" si="49"/>
        <v>0</v>
      </c>
      <c r="L283" s="136">
        <f t="shared" si="47"/>
        <v>0</v>
      </c>
      <c r="M283" s="136">
        <v>0</v>
      </c>
    </row>
    <row r="284" spans="2:13" ht="12.75">
      <c r="B284" s="140">
        <f t="shared" si="48"/>
      </c>
      <c r="C284" s="141">
        <f t="shared" si="46"/>
        <v>270</v>
      </c>
      <c r="D284" s="142">
        <f t="shared" si="50"/>
        <v>46174</v>
      </c>
      <c r="E284" s="134">
        <f t="shared" si="51"/>
        <v>113742.41776457353</v>
      </c>
      <c r="F284" s="195">
        <f t="shared" si="45"/>
        <v>568.7120888228677</v>
      </c>
      <c r="G284" s="134">
        <f t="shared" si="52"/>
        <v>990.1192765743054</v>
      </c>
      <c r="H284" s="134">
        <f t="shared" si="53"/>
        <v>112752.29848799923</v>
      </c>
      <c r="I284" s="144">
        <f t="shared" si="54"/>
        <v>273636.7671452358</v>
      </c>
      <c r="J284" s="138">
        <f t="shared" si="55"/>
        <v>147247.70151200093</v>
      </c>
      <c r="K284" s="198">
        <f t="shared" si="49"/>
        <v>0</v>
      </c>
      <c r="L284" s="136">
        <f t="shared" si="47"/>
        <v>0</v>
      </c>
      <c r="M284" s="136">
        <v>0</v>
      </c>
    </row>
    <row r="285" spans="2:13" ht="12.75">
      <c r="B285" s="140">
        <f t="shared" si="48"/>
      </c>
      <c r="C285" s="141">
        <f t="shared" si="46"/>
        <v>271</v>
      </c>
      <c r="D285" s="142">
        <f t="shared" si="50"/>
        <v>46204</v>
      </c>
      <c r="E285" s="134">
        <f t="shared" si="51"/>
        <v>112752.29848799923</v>
      </c>
      <c r="F285" s="195">
        <f t="shared" si="45"/>
        <v>563.7614924399961</v>
      </c>
      <c r="G285" s="134">
        <f t="shared" si="52"/>
        <v>995.069872957177</v>
      </c>
      <c r="H285" s="134">
        <f t="shared" si="53"/>
        <v>111757.22861504206</v>
      </c>
      <c r="I285" s="144">
        <f t="shared" si="54"/>
        <v>274200.5286376758</v>
      </c>
      <c r="J285" s="138">
        <f t="shared" si="55"/>
        <v>148242.77138495812</v>
      </c>
      <c r="K285" s="198">
        <f t="shared" si="49"/>
        <v>0</v>
      </c>
      <c r="L285" s="136">
        <f t="shared" si="47"/>
        <v>0</v>
      </c>
      <c r="M285" s="136">
        <v>0</v>
      </c>
    </row>
    <row r="286" spans="2:13" ht="12.75">
      <c r="B286" s="140">
        <f t="shared" si="48"/>
      </c>
      <c r="C286" s="141">
        <f t="shared" si="46"/>
        <v>272</v>
      </c>
      <c r="D286" s="142">
        <f t="shared" si="50"/>
        <v>46235</v>
      </c>
      <c r="E286" s="134">
        <f t="shared" si="51"/>
        <v>111757.22861504206</v>
      </c>
      <c r="F286" s="195">
        <f t="shared" si="45"/>
        <v>558.7861430752102</v>
      </c>
      <c r="G286" s="134">
        <f t="shared" si="52"/>
        <v>1000.0452223219629</v>
      </c>
      <c r="H286" s="134">
        <f t="shared" si="53"/>
        <v>110757.1833927201</v>
      </c>
      <c r="I286" s="144">
        <f t="shared" si="54"/>
        <v>274759.314780751</v>
      </c>
      <c r="J286" s="138">
        <f t="shared" si="55"/>
        <v>149242.81660728008</v>
      </c>
      <c r="K286" s="198">
        <f t="shared" si="49"/>
        <v>0</v>
      </c>
      <c r="L286" s="136">
        <f t="shared" si="47"/>
        <v>0</v>
      </c>
      <c r="M286" s="136">
        <v>0</v>
      </c>
    </row>
    <row r="287" spans="2:13" ht="12.75">
      <c r="B287" s="140">
        <f t="shared" si="48"/>
      </c>
      <c r="C287" s="141">
        <f t="shared" si="46"/>
        <v>273</v>
      </c>
      <c r="D287" s="142">
        <f t="shared" si="50"/>
        <v>46266</v>
      </c>
      <c r="E287" s="134">
        <f t="shared" si="51"/>
        <v>110757.1833927201</v>
      </c>
      <c r="F287" s="195">
        <f t="shared" si="45"/>
        <v>553.7859169636005</v>
      </c>
      <c r="G287" s="134">
        <f t="shared" si="52"/>
        <v>1005.0454484335727</v>
      </c>
      <c r="H287" s="134">
        <f t="shared" si="53"/>
        <v>109752.13794428651</v>
      </c>
      <c r="I287" s="144">
        <f t="shared" si="54"/>
        <v>275313.1006977146</v>
      </c>
      <c r="J287" s="138">
        <f t="shared" si="55"/>
        <v>150247.86205571366</v>
      </c>
      <c r="K287" s="198">
        <f t="shared" si="49"/>
        <v>0</v>
      </c>
      <c r="L287" s="136">
        <f t="shared" si="47"/>
        <v>0</v>
      </c>
      <c r="M287" s="136">
        <v>0</v>
      </c>
    </row>
    <row r="288" spans="2:13" ht="12.75">
      <c r="B288" s="140">
        <f t="shared" si="48"/>
      </c>
      <c r="C288" s="141">
        <f t="shared" si="46"/>
        <v>274</v>
      </c>
      <c r="D288" s="142">
        <f t="shared" si="50"/>
        <v>46296</v>
      </c>
      <c r="E288" s="134">
        <f t="shared" si="51"/>
        <v>109752.13794428651</v>
      </c>
      <c r="F288" s="195">
        <f t="shared" si="45"/>
        <v>548.7606897214326</v>
      </c>
      <c r="G288" s="134">
        <f t="shared" si="52"/>
        <v>1010.0706756757405</v>
      </c>
      <c r="H288" s="134">
        <f t="shared" si="53"/>
        <v>108742.06726861077</v>
      </c>
      <c r="I288" s="144">
        <f t="shared" si="54"/>
        <v>275861.86138743605</v>
      </c>
      <c r="J288" s="138">
        <f t="shared" si="55"/>
        <v>151257.9327313894</v>
      </c>
      <c r="K288" s="198">
        <f t="shared" si="49"/>
        <v>0</v>
      </c>
      <c r="L288" s="136">
        <f t="shared" si="47"/>
        <v>0</v>
      </c>
      <c r="M288" s="136">
        <v>0</v>
      </c>
    </row>
    <row r="289" spans="2:13" ht="12.75">
      <c r="B289" s="140">
        <f t="shared" si="48"/>
      </c>
      <c r="C289" s="141">
        <f t="shared" si="46"/>
        <v>275</v>
      </c>
      <c r="D289" s="142">
        <f t="shared" si="50"/>
        <v>46327</v>
      </c>
      <c r="E289" s="134">
        <f t="shared" si="51"/>
        <v>108742.06726861077</v>
      </c>
      <c r="F289" s="195">
        <f t="shared" si="45"/>
        <v>543.7103363430539</v>
      </c>
      <c r="G289" s="134">
        <f t="shared" si="52"/>
        <v>1015.1210290541193</v>
      </c>
      <c r="H289" s="134">
        <f t="shared" si="53"/>
        <v>107726.94623955665</v>
      </c>
      <c r="I289" s="144">
        <f t="shared" si="54"/>
        <v>276405.5717237791</v>
      </c>
      <c r="J289" s="138">
        <f t="shared" si="55"/>
        <v>152273.0537604435</v>
      </c>
      <c r="K289" s="198">
        <f t="shared" si="49"/>
        <v>0</v>
      </c>
      <c r="L289" s="136">
        <f t="shared" si="47"/>
        <v>0</v>
      </c>
      <c r="M289" s="136">
        <v>0</v>
      </c>
    </row>
    <row r="290" spans="2:13" ht="12.75">
      <c r="B290" s="140">
        <f t="shared" si="48"/>
      </c>
      <c r="C290" s="141">
        <f t="shared" si="46"/>
        <v>276</v>
      </c>
      <c r="D290" s="142">
        <f t="shared" si="50"/>
        <v>46357</v>
      </c>
      <c r="E290" s="134">
        <f t="shared" si="51"/>
        <v>107726.94623955665</v>
      </c>
      <c r="F290" s="195">
        <f aca="true" t="shared" si="56" ref="F290:F353">$E$6/$E$8*E290</f>
        <v>538.6347311977833</v>
      </c>
      <c r="G290" s="134">
        <f t="shared" si="52"/>
        <v>1020.1966341993899</v>
      </c>
      <c r="H290" s="134">
        <f t="shared" si="53"/>
        <v>106706.74960535727</v>
      </c>
      <c r="I290" s="144">
        <f t="shared" si="54"/>
        <v>276944.20645497687</v>
      </c>
      <c r="J290" s="138">
        <f t="shared" si="55"/>
        <v>153293.25039464288</v>
      </c>
      <c r="K290" s="198">
        <f t="shared" si="49"/>
        <v>0</v>
      </c>
      <c r="L290" s="136">
        <f t="shared" si="47"/>
        <v>0</v>
      </c>
      <c r="M290" s="136">
        <v>0</v>
      </c>
    </row>
    <row r="291" spans="2:13" ht="12.75">
      <c r="B291" s="140" t="str">
        <f t="shared" si="48"/>
        <v>Year 24</v>
      </c>
      <c r="C291" s="141">
        <f t="shared" si="46"/>
        <v>277</v>
      </c>
      <c r="D291" s="142">
        <f t="shared" si="50"/>
        <v>46388</v>
      </c>
      <c r="E291" s="134">
        <f t="shared" si="51"/>
        <v>106706.74960535727</v>
      </c>
      <c r="F291" s="195">
        <f t="shared" si="56"/>
        <v>533.5337480267864</v>
      </c>
      <c r="G291" s="134">
        <f t="shared" si="52"/>
        <v>1025.297617370387</v>
      </c>
      <c r="H291" s="134">
        <f t="shared" si="53"/>
        <v>105681.45198798687</v>
      </c>
      <c r="I291" s="144">
        <f t="shared" si="54"/>
        <v>277477.74020300363</v>
      </c>
      <c r="J291" s="138">
        <f t="shared" si="55"/>
        <v>154318.54801201326</v>
      </c>
      <c r="K291" s="198">
        <f t="shared" si="49"/>
        <v>0</v>
      </c>
      <c r="L291" s="136">
        <f t="shared" si="47"/>
        <v>0</v>
      </c>
      <c r="M291" s="136">
        <v>0</v>
      </c>
    </row>
    <row r="292" spans="2:13" ht="12.75">
      <c r="B292" s="140">
        <f t="shared" si="48"/>
      </c>
      <c r="C292" s="141">
        <f t="shared" si="46"/>
        <v>278</v>
      </c>
      <c r="D292" s="142">
        <f t="shared" si="50"/>
        <v>46419</v>
      </c>
      <c r="E292" s="134">
        <f t="shared" si="51"/>
        <v>105681.45198798687</v>
      </c>
      <c r="F292" s="195">
        <f t="shared" si="56"/>
        <v>528.4072599399344</v>
      </c>
      <c r="G292" s="134">
        <f t="shared" si="52"/>
        <v>1030.4241054572387</v>
      </c>
      <c r="H292" s="134">
        <f t="shared" si="53"/>
        <v>104651.02788252964</v>
      </c>
      <c r="I292" s="144">
        <f t="shared" si="54"/>
        <v>278006.14746294357</v>
      </c>
      <c r="J292" s="138">
        <f t="shared" si="55"/>
        <v>155348.9721174705</v>
      </c>
      <c r="K292" s="198">
        <f t="shared" si="49"/>
        <v>0</v>
      </c>
      <c r="L292" s="136">
        <f t="shared" si="47"/>
        <v>0</v>
      </c>
      <c r="M292" s="136">
        <v>0</v>
      </c>
    </row>
    <row r="293" spans="2:13" ht="12.75">
      <c r="B293" s="140">
        <f t="shared" si="48"/>
      </c>
      <c r="C293" s="141">
        <f t="shared" si="46"/>
        <v>279</v>
      </c>
      <c r="D293" s="142">
        <f t="shared" si="50"/>
        <v>46447</v>
      </c>
      <c r="E293" s="134">
        <f t="shared" si="51"/>
        <v>104651.02788252964</v>
      </c>
      <c r="F293" s="195">
        <f t="shared" si="56"/>
        <v>523.2551394126482</v>
      </c>
      <c r="G293" s="134">
        <f t="shared" si="52"/>
        <v>1035.576225984525</v>
      </c>
      <c r="H293" s="134">
        <f t="shared" si="53"/>
        <v>103615.45165654512</v>
      </c>
      <c r="I293" s="144">
        <f t="shared" si="54"/>
        <v>278529.4026023562</v>
      </c>
      <c r="J293" s="138">
        <f t="shared" si="55"/>
        <v>156384.548343455</v>
      </c>
      <c r="K293" s="198">
        <f t="shared" si="49"/>
        <v>0</v>
      </c>
      <c r="L293" s="136">
        <f t="shared" si="47"/>
        <v>0</v>
      </c>
      <c r="M293" s="136">
        <v>0</v>
      </c>
    </row>
    <row r="294" spans="2:13" ht="12.75">
      <c r="B294" s="140">
        <f t="shared" si="48"/>
      </c>
      <c r="C294" s="141">
        <f t="shared" si="46"/>
        <v>280</v>
      </c>
      <c r="D294" s="142">
        <f t="shared" si="50"/>
        <v>46478</v>
      </c>
      <c r="E294" s="134">
        <f t="shared" si="51"/>
        <v>103615.45165654512</v>
      </c>
      <c r="F294" s="195">
        <f t="shared" si="56"/>
        <v>518.0772582827256</v>
      </c>
      <c r="G294" s="134">
        <f t="shared" si="52"/>
        <v>1040.7541071144476</v>
      </c>
      <c r="H294" s="134">
        <f t="shared" si="53"/>
        <v>102574.69754943067</v>
      </c>
      <c r="I294" s="144">
        <f t="shared" si="54"/>
        <v>279047.47986063897</v>
      </c>
      <c r="J294" s="138">
        <f t="shared" si="55"/>
        <v>157425.30245056946</v>
      </c>
      <c r="K294" s="198">
        <f t="shared" si="49"/>
        <v>0</v>
      </c>
      <c r="L294" s="136">
        <f t="shared" si="47"/>
        <v>0</v>
      </c>
      <c r="M294" s="136">
        <v>0</v>
      </c>
    </row>
    <row r="295" spans="2:13" ht="12.75">
      <c r="B295" s="140">
        <f t="shared" si="48"/>
      </c>
      <c r="C295" s="141">
        <f t="shared" si="46"/>
        <v>281</v>
      </c>
      <c r="D295" s="142">
        <f t="shared" si="50"/>
        <v>46508</v>
      </c>
      <c r="E295" s="134">
        <f t="shared" si="51"/>
        <v>102574.69754943067</v>
      </c>
      <c r="F295" s="195">
        <f t="shared" si="56"/>
        <v>512.8734877471534</v>
      </c>
      <c r="G295" s="134">
        <f t="shared" si="52"/>
        <v>1045.9578776500198</v>
      </c>
      <c r="H295" s="134">
        <f t="shared" si="53"/>
        <v>101528.73967178066</v>
      </c>
      <c r="I295" s="144">
        <f t="shared" si="54"/>
        <v>279560.3533483861</v>
      </c>
      <c r="J295" s="138">
        <f t="shared" si="55"/>
        <v>158471.26032821948</v>
      </c>
      <c r="K295" s="198">
        <f t="shared" si="49"/>
        <v>0</v>
      </c>
      <c r="L295" s="136">
        <f t="shared" si="47"/>
        <v>0</v>
      </c>
      <c r="M295" s="136">
        <v>0</v>
      </c>
    </row>
    <row r="296" spans="2:13" ht="12.75">
      <c r="B296" s="140">
        <f t="shared" si="48"/>
      </c>
      <c r="C296" s="141">
        <f t="shared" si="46"/>
        <v>282</v>
      </c>
      <c r="D296" s="142">
        <f t="shared" si="50"/>
        <v>46539</v>
      </c>
      <c r="E296" s="134">
        <f t="shared" si="51"/>
        <v>101528.73967178066</v>
      </c>
      <c r="F296" s="195">
        <f t="shared" si="56"/>
        <v>507.6436983589033</v>
      </c>
      <c r="G296" s="134">
        <f t="shared" si="52"/>
        <v>1051.1876670382699</v>
      </c>
      <c r="H296" s="134">
        <f t="shared" si="53"/>
        <v>100477.55200474238</v>
      </c>
      <c r="I296" s="144">
        <f t="shared" si="54"/>
        <v>280067.99704674503</v>
      </c>
      <c r="J296" s="138">
        <f t="shared" si="55"/>
        <v>159522.44799525774</v>
      </c>
      <c r="K296" s="198">
        <f t="shared" si="49"/>
        <v>0</v>
      </c>
      <c r="L296" s="136">
        <f t="shared" si="47"/>
        <v>0</v>
      </c>
      <c r="M296" s="136">
        <v>0</v>
      </c>
    </row>
    <row r="297" spans="2:13" ht="12.75">
      <c r="B297" s="140">
        <f t="shared" si="48"/>
      </c>
      <c r="C297" s="141">
        <f t="shared" si="46"/>
        <v>283</v>
      </c>
      <c r="D297" s="142">
        <f t="shared" si="50"/>
        <v>46569</v>
      </c>
      <c r="E297" s="134">
        <f t="shared" si="51"/>
        <v>100477.55200474238</v>
      </c>
      <c r="F297" s="195">
        <f t="shared" si="56"/>
        <v>502.3877600237119</v>
      </c>
      <c r="G297" s="134">
        <f t="shared" si="52"/>
        <v>1056.4436053734612</v>
      </c>
      <c r="H297" s="134">
        <f t="shared" si="53"/>
        <v>99421.10839936891</v>
      </c>
      <c r="I297" s="144">
        <f t="shared" si="54"/>
        <v>280570.38480676874</v>
      </c>
      <c r="J297" s="138">
        <f t="shared" si="55"/>
        <v>160578.8916006312</v>
      </c>
      <c r="K297" s="198">
        <f t="shared" si="49"/>
        <v>0</v>
      </c>
      <c r="L297" s="136">
        <f t="shared" si="47"/>
        <v>0</v>
      </c>
      <c r="M297" s="136">
        <v>0</v>
      </c>
    </row>
    <row r="298" spans="2:13" ht="12.75">
      <c r="B298" s="140">
        <f t="shared" si="48"/>
      </c>
      <c r="C298" s="141">
        <f t="shared" si="46"/>
        <v>284</v>
      </c>
      <c r="D298" s="142">
        <f t="shared" si="50"/>
        <v>46600</v>
      </c>
      <c r="E298" s="134">
        <f t="shared" si="51"/>
        <v>99421.10839936891</v>
      </c>
      <c r="F298" s="195">
        <f t="shared" si="56"/>
        <v>497.1055419968446</v>
      </c>
      <c r="G298" s="134">
        <f t="shared" si="52"/>
        <v>1061.7258234003286</v>
      </c>
      <c r="H298" s="134">
        <f t="shared" si="53"/>
        <v>98359.38257596859</v>
      </c>
      <c r="I298" s="144">
        <f t="shared" si="54"/>
        <v>281067.49034876557</v>
      </c>
      <c r="J298" s="138">
        <f t="shared" si="55"/>
        <v>161640.61742403154</v>
      </c>
      <c r="K298" s="198">
        <f t="shared" si="49"/>
        <v>0</v>
      </c>
      <c r="L298" s="136">
        <f t="shared" si="47"/>
        <v>0</v>
      </c>
      <c r="M298" s="136">
        <v>0</v>
      </c>
    </row>
    <row r="299" spans="2:13" ht="12.75">
      <c r="B299" s="140">
        <f t="shared" si="48"/>
      </c>
      <c r="C299" s="141">
        <f t="shared" si="46"/>
        <v>285</v>
      </c>
      <c r="D299" s="142">
        <f t="shared" si="50"/>
        <v>46631</v>
      </c>
      <c r="E299" s="134">
        <f t="shared" si="51"/>
        <v>98359.38257596859</v>
      </c>
      <c r="F299" s="195">
        <f t="shared" si="56"/>
        <v>491.7969128798429</v>
      </c>
      <c r="G299" s="134">
        <f t="shared" si="52"/>
        <v>1067.0344525173302</v>
      </c>
      <c r="H299" s="134">
        <f t="shared" si="53"/>
        <v>97292.34812345126</v>
      </c>
      <c r="I299" s="144">
        <f t="shared" si="54"/>
        <v>281559.2872616454</v>
      </c>
      <c r="J299" s="138">
        <f t="shared" si="55"/>
        <v>162707.6518765489</v>
      </c>
      <c r="K299" s="198">
        <f t="shared" si="49"/>
        <v>0</v>
      </c>
      <c r="L299" s="136">
        <f t="shared" si="47"/>
        <v>0</v>
      </c>
      <c r="M299" s="136">
        <v>0</v>
      </c>
    </row>
    <row r="300" spans="2:13" ht="12.75">
      <c r="B300" s="140">
        <f t="shared" si="48"/>
      </c>
      <c r="C300" s="141">
        <f t="shared" si="46"/>
        <v>286</v>
      </c>
      <c r="D300" s="142">
        <f t="shared" si="50"/>
        <v>46661</v>
      </c>
      <c r="E300" s="134">
        <f t="shared" si="51"/>
        <v>97292.34812345126</v>
      </c>
      <c r="F300" s="195">
        <f t="shared" si="56"/>
        <v>486.4617406172563</v>
      </c>
      <c r="G300" s="134">
        <f t="shared" si="52"/>
        <v>1072.3696247799169</v>
      </c>
      <c r="H300" s="134">
        <f t="shared" si="53"/>
        <v>96219.97849867133</v>
      </c>
      <c r="I300" s="144">
        <f t="shared" si="54"/>
        <v>282045.74900226266</v>
      </c>
      <c r="J300" s="138">
        <f t="shared" si="55"/>
        <v>163780.0215013288</v>
      </c>
      <c r="K300" s="198">
        <f t="shared" si="49"/>
        <v>0</v>
      </c>
      <c r="L300" s="136">
        <f t="shared" si="47"/>
        <v>0</v>
      </c>
      <c r="M300" s="136">
        <v>0</v>
      </c>
    </row>
    <row r="301" spans="2:13" ht="12.75">
      <c r="B301" s="140">
        <f t="shared" si="48"/>
      </c>
      <c r="C301" s="141">
        <f t="shared" si="46"/>
        <v>287</v>
      </c>
      <c r="D301" s="142">
        <f t="shared" si="50"/>
        <v>46692</v>
      </c>
      <c r="E301" s="134">
        <f t="shared" si="51"/>
        <v>96219.97849867133</v>
      </c>
      <c r="F301" s="195">
        <f t="shared" si="56"/>
        <v>481.09989249335666</v>
      </c>
      <c r="G301" s="134">
        <f t="shared" si="52"/>
        <v>1077.7314729038164</v>
      </c>
      <c r="H301" s="134">
        <f t="shared" si="53"/>
        <v>95142.24702576752</v>
      </c>
      <c r="I301" s="144">
        <f t="shared" si="54"/>
        <v>282526.848894756</v>
      </c>
      <c r="J301" s="138">
        <f t="shared" si="55"/>
        <v>164857.7529742326</v>
      </c>
      <c r="K301" s="198">
        <f t="shared" si="49"/>
        <v>0</v>
      </c>
      <c r="L301" s="136">
        <f t="shared" si="47"/>
        <v>0</v>
      </c>
      <c r="M301" s="136">
        <v>0</v>
      </c>
    </row>
    <row r="302" spans="2:13" ht="12.75">
      <c r="B302" s="140">
        <f t="shared" si="48"/>
      </c>
      <c r="C302" s="141">
        <f t="shared" si="46"/>
        <v>288</v>
      </c>
      <c r="D302" s="142">
        <f t="shared" si="50"/>
        <v>46722</v>
      </c>
      <c r="E302" s="134">
        <f t="shared" si="51"/>
        <v>95142.24702576752</v>
      </c>
      <c r="F302" s="195">
        <f t="shared" si="56"/>
        <v>475.7112351288376</v>
      </c>
      <c r="G302" s="134">
        <f t="shared" si="52"/>
        <v>1083.1201302683355</v>
      </c>
      <c r="H302" s="134">
        <f t="shared" si="53"/>
        <v>94059.12689549918</v>
      </c>
      <c r="I302" s="144">
        <f t="shared" si="54"/>
        <v>283002.5601298848</v>
      </c>
      <c r="J302" s="138">
        <f t="shared" si="55"/>
        <v>165940.87310450093</v>
      </c>
      <c r="K302" s="198">
        <f t="shared" si="49"/>
        <v>0</v>
      </c>
      <c r="L302" s="136">
        <f t="shared" si="47"/>
        <v>0</v>
      </c>
      <c r="M302" s="136">
        <v>0</v>
      </c>
    </row>
    <row r="303" spans="2:13" ht="12.75">
      <c r="B303" s="140" t="str">
        <f t="shared" si="48"/>
        <v>Year 25</v>
      </c>
      <c r="C303" s="141">
        <f t="shared" si="46"/>
        <v>289</v>
      </c>
      <c r="D303" s="142">
        <f t="shared" si="50"/>
        <v>46753</v>
      </c>
      <c r="E303" s="134">
        <f t="shared" si="51"/>
        <v>94059.12689549918</v>
      </c>
      <c r="F303" s="195">
        <f t="shared" si="56"/>
        <v>470.2956344774959</v>
      </c>
      <c r="G303" s="134">
        <f t="shared" si="52"/>
        <v>1088.5357309196772</v>
      </c>
      <c r="H303" s="134">
        <f t="shared" si="53"/>
        <v>92970.5911645795</v>
      </c>
      <c r="I303" s="144">
        <f t="shared" si="54"/>
        <v>283472.8557643623</v>
      </c>
      <c r="J303" s="138">
        <f t="shared" si="55"/>
        <v>167029.40883542062</v>
      </c>
      <c r="K303" s="198">
        <f t="shared" si="49"/>
        <v>0</v>
      </c>
      <c r="L303" s="136">
        <f t="shared" si="47"/>
        <v>0</v>
      </c>
      <c r="M303" s="136">
        <v>0</v>
      </c>
    </row>
    <row r="304" spans="2:13" ht="12.75">
      <c r="B304" s="140">
        <f t="shared" si="48"/>
      </c>
      <c r="C304" s="141">
        <f t="shared" si="46"/>
        <v>290</v>
      </c>
      <c r="D304" s="142">
        <f t="shared" si="50"/>
        <v>46784</v>
      </c>
      <c r="E304" s="134">
        <f t="shared" si="51"/>
        <v>92970.5911645795</v>
      </c>
      <c r="F304" s="195">
        <f t="shared" si="56"/>
        <v>464.8529558228975</v>
      </c>
      <c r="G304" s="134">
        <f t="shared" si="52"/>
        <v>1093.9784095742757</v>
      </c>
      <c r="H304" s="134">
        <f t="shared" si="53"/>
        <v>91876.61275500522</v>
      </c>
      <c r="I304" s="144">
        <f t="shared" si="54"/>
        <v>283937.7087201852</v>
      </c>
      <c r="J304" s="138">
        <f t="shared" si="55"/>
        <v>168123.3872449949</v>
      </c>
      <c r="K304" s="198">
        <f t="shared" si="49"/>
        <v>0</v>
      </c>
      <c r="L304" s="136">
        <f t="shared" si="47"/>
        <v>0</v>
      </c>
      <c r="M304" s="136">
        <v>0</v>
      </c>
    </row>
    <row r="305" spans="2:13" ht="12.75">
      <c r="B305" s="140">
        <f t="shared" si="48"/>
      </c>
      <c r="C305" s="141">
        <f t="shared" si="46"/>
        <v>291</v>
      </c>
      <c r="D305" s="142">
        <f t="shared" si="50"/>
        <v>46813</v>
      </c>
      <c r="E305" s="134">
        <f t="shared" si="51"/>
        <v>91876.61275500522</v>
      </c>
      <c r="F305" s="195">
        <f t="shared" si="56"/>
        <v>459.38306377502613</v>
      </c>
      <c r="G305" s="134">
        <f t="shared" si="52"/>
        <v>1099.448301622147</v>
      </c>
      <c r="H305" s="134">
        <f t="shared" si="53"/>
        <v>90777.16445338307</v>
      </c>
      <c r="I305" s="144">
        <f t="shared" si="54"/>
        <v>284397.09178396023</v>
      </c>
      <c r="J305" s="138">
        <f t="shared" si="55"/>
        <v>169222.83554661705</v>
      </c>
      <c r="K305" s="198">
        <f t="shared" si="49"/>
        <v>0</v>
      </c>
      <c r="L305" s="136">
        <f t="shared" si="47"/>
        <v>0</v>
      </c>
      <c r="M305" s="136">
        <v>0</v>
      </c>
    </row>
    <row r="306" spans="2:13" ht="12.75">
      <c r="B306" s="140">
        <f t="shared" si="48"/>
      </c>
      <c r="C306" s="141">
        <f t="shared" si="46"/>
        <v>292</v>
      </c>
      <c r="D306" s="142">
        <f t="shared" si="50"/>
        <v>46844</v>
      </c>
      <c r="E306" s="134">
        <f t="shared" si="51"/>
        <v>90777.16445338307</v>
      </c>
      <c r="F306" s="195">
        <f t="shared" si="56"/>
        <v>453.88582226691534</v>
      </c>
      <c r="G306" s="134">
        <f t="shared" si="52"/>
        <v>1104.9455431302579</v>
      </c>
      <c r="H306" s="134">
        <f t="shared" si="53"/>
        <v>89672.2189102528</v>
      </c>
      <c r="I306" s="144">
        <f t="shared" si="54"/>
        <v>284850.97760622716</v>
      </c>
      <c r="J306" s="138">
        <f t="shared" si="55"/>
        <v>170327.7810897473</v>
      </c>
      <c r="K306" s="198">
        <f t="shared" si="49"/>
        <v>0</v>
      </c>
      <c r="L306" s="136">
        <f t="shared" si="47"/>
        <v>0</v>
      </c>
      <c r="M306" s="136">
        <v>0</v>
      </c>
    </row>
    <row r="307" spans="2:13" ht="12.75">
      <c r="B307" s="140">
        <f t="shared" si="48"/>
      </c>
      <c r="C307" s="141">
        <f t="shared" si="46"/>
        <v>293</v>
      </c>
      <c r="D307" s="142">
        <f t="shared" si="50"/>
        <v>46874</v>
      </c>
      <c r="E307" s="134">
        <f t="shared" si="51"/>
        <v>89672.2189102528</v>
      </c>
      <c r="F307" s="195">
        <f t="shared" si="56"/>
        <v>448.36109455126405</v>
      </c>
      <c r="G307" s="134">
        <f t="shared" si="52"/>
        <v>1110.470270845909</v>
      </c>
      <c r="H307" s="134">
        <f t="shared" si="53"/>
        <v>88561.7486394069</v>
      </c>
      <c r="I307" s="144">
        <f t="shared" si="54"/>
        <v>285299.33870077843</v>
      </c>
      <c r="J307" s="138">
        <f t="shared" si="55"/>
        <v>171438.25136059322</v>
      </c>
      <c r="K307" s="198">
        <f t="shared" si="49"/>
        <v>0</v>
      </c>
      <c r="L307" s="136">
        <f t="shared" si="47"/>
        <v>0</v>
      </c>
      <c r="M307" s="136">
        <v>0</v>
      </c>
    </row>
    <row r="308" spans="2:13" ht="12.75">
      <c r="B308" s="140">
        <f t="shared" si="48"/>
      </c>
      <c r="C308" s="141">
        <f t="shared" si="46"/>
        <v>294</v>
      </c>
      <c r="D308" s="142">
        <f t="shared" si="50"/>
        <v>46905</v>
      </c>
      <c r="E308" s="134">
        <f t="shared" si="51"/>
        <v>88561.7486394069</v>
      </c>
      <c r="F308" s="195">
        <f t="shared" si="56"/>
        <v>442.8087431970345</v>
      </c>
      <c r="G308" s="134">
        <f t="shared" si="52"/>
        <v>1116.0226222001386</v>
      </c>
      <c r="H308" s="134">
        <f t="shared" si="53"/>
        <v>87445.72601720676</v>
      </c>
      <c r="I308" s="144">
        <f t="shared" si="54"/>
        <v>285742.1474439755</v>
      </c>
      <c r="J308" s="138">
        <f t="shared" si="55"/>
        <v>172554.27398279335</v>
      </c>
      <c r="K308" s="198">
        <f t="shared" si="49"/>
        <v>0</v>
      </c>
      <c r="L308" s="136">
        <f t="shared" si="47"/>
        <v>0</v>
      </c>
      <c r="M308" s="136">
        <v>0</v>
      </c>
    </row>
    <row r="309" spans="2:13" ht="12.75">
      <c r="B309" s="140">
        <f t="shared" si="48"/>
      </c>
      <c r="C309" s="141">
        <f t="shared" si="46"/>
        <v>295</v>
      </c>
      <c r="D309" s="142">
        <f t="shared" si="50"/>
        <v>46935</v>
      </c>
      <c r="E309" s="134">
        <f t="shared" si="51"/>
        <v>87445.72601720676</v>
      </c>
      <c r="F309" s="195">
        <f t="shared" si="56"/>
        <v>437.22863008603383</v>
      </c>
      <c r="G309" s="134">
        <f t="shared" si="52"/>
        <v>1121.6027353111394</v>
      </c>
      <c r="H309" s="134">
        <f t="shared" si="53"/>
        <v>86324.12328189562</v>
      </c>
      <c r="I309" s="144">
        <f t="shared" si="54"/>
        <v>286179.37607406155</v>
      </c>
      <c r="J309" s="138">
        <f t="shared" si="55"/>
        <v>173675.8767181045</v>
      </c>
      <c r="K309" s="198">
        <f t="shared" si="49"/>
        <v>0</v>
      </c>
      <c r="L309" s="136">
        <f t="shared" si="47"/>
        <v>0</v>
      </c>
      <c r="M309" s="136">
        <v>0</v>
      </c>
    </row>
    <row r="310" spans="2:13" ht="12.75">
      <c r="B310" s="140">
        <f t="shared" si="48"/>
      </c>
      <c r="C310" s="141">
        <f t="shared" si="46"/>
        <v>296</v>
      </c>
      <c r="D310" s="142">
        <f t="shared" si="50"/>
        <v>46966</v>
      </c>
      <c r="E310" s="134">
        <f t="shared" si="51"/>
        <v>86324.12328189562</v>
      </c>
      <c r="F310" s="195">
        <f t="shared" si="56"/>
        <v>431.6206164094781</v>
      </c>
      <c r="G310" s="134">
        <f t="shared" si="52"/>
        <v>1127.210748987695</v>
      </c>
      <c r="H310" s="134">
        <f t="shared" si="53"/>
        <v>85196.91253290793</v>
      </c>
      <c r="I310" s="144">
        <f t="shared" si="54"/>
        <v>286610.996690471</v>
      </c>
      <c r="J310" s="138">
        <f t="shared" si="55"/>
        <v>174803.0874670922</v>
      </c>
      <c r="K310" s="198">
        <f t="shared" si="49"/>
        <v>0</v>
      </c>
      <c r="L310" s="136">
        <f t="shared" si="47"/>
        <v>0</v>
      </c>
      <c r="M310" s="136">
        <v>0</v>
      </c>
    </row>
    <row r="311" spans="2:13" ht="12.75">
      <c r="B311" s="140">
        <f t="shared" si="48"/>
      </c>
      <c r="C311" s="141">
        <f t="shared" si="46"/>
        <v>297</v>
      </c>
      <c r="D311" s="142">
        <f t="shared" si="50"/>
        <v>46997</v>
      </c>
      <c r="E311" s="134">
        <f t="shared" si="51"/>
        <v>85196.91253290793</v>
      </c>
      <c r="F311" s="195">
        <f t="shared" si="56"/>
        <v>425.9845626645396</v>
      </c>
      <c r="G311" s="134">
        <f t="shared" si="52"/>
        <v>1132.8468027326335</v>
      </c>
      <c r="H311" s="134">
        <f t="shared" si="53"/>
        <v>84064.0657301753</v>
      </c>
      <c r="I311" s="144">
        <f t="shared" si="54"/>
        <v>287036.98125313554</v>
      </c>
      <c r="J311" s="138">
        <f t="shared" si="55"/>
        <v>175935.93426982485</v>
      </c>
      <c r="K311" s="198">
        <f t="shared" si="49"/>
        <v>0</v>
      </c>
      <c r="L311" s="136">
        <f t="shared" si="47"/>
        <v>0</v>
      </c>
      <c r="M311" s="136">
        <v>0</v>
      </c>
    </row>
    <row r="312" spans="2:13" ht="12.75">
      <c r="B312" s="140">
        <f t="shared" si="48"/>
      </c>
      <c r="C312" s="141">
        <f t="shared" si="46"/>
        <v>298</v>
      </c>
      <c r="D312" s="142">
        <f t="shared" si="50"/>
        <v>47027</v>
      </c>
      <c r="E312" s="134">
        <f t="shared" si="51"/>
        <v>84064.0657301753</v>
      </c>
      <c r="F312" s="195">
        <f t="shared" si="56"/>
        <v>420.3203286508765</v>
      </c>
      <c r="G312" s="134">
        <f t="shared" si="52"/>
        <v>1138.5110367462967</v>
      </c>
      <c r="H312" s="134">
        <f t="shared" si="53"/>
        <v>82925.554693429</v>
      </c>
      <c r="I312" s="144">
        <f t="shared" si="54"/>
        <v>287457.3015817864</v>
      </c>
      <c r="J312" s="138">
        <f t="shared" si="55"/>
        <v>177074.44530657114</v>
      </c>
      <c r="K312" s="198">
        <f t="shared" si="49"/>
        <v>0</v>
      </c>
      <c r="L312" s="136">
        <f t="shared" si="47"/>
        <v>0</v>
      </c>
      <c r="M312" s="136">
        <v>0</v>
      </c>
    </row>
    <row r="313" spans="2:13" ht="12.75">
      <c r="B313" s="140">
        <f t="shared" si="48"/>
      </c>
      <c r="C313" s="141">
        <f t="shared" si="46"/>
        <v>299</v>
      </c>
      <c r="D313" s="142">
        <f t="shared" si="50"/>
        <v>47058</v>
      </c>
      <c r="E313" s="134">
        <f t="shared" si="51"/>
        <v>82925.554693429</v>
      </c>
      <c r="F313" s="195">
        <f t="shared" si="56"/>
        <v>414.627773467145</v>
      </c>
      <c r="G313" s="134">
        <f t="shared" si="52"/>
        <v>1144.203591930028</v>
      </c>
      <c r="H313" s="134">
        <f t="shared" si="53"/>
        <v>81781.35110149898</v>
      </c>
      <c r="I313" s="144">
        <f t="shared" si="54"/>
        <v>287871.9293552536</v>
      </c>
      <c r="J313" s="138">
        <f t="shared" si="55"/>
        <v>178218.64889850118</v>
      </c>
      <c r="K313" s="198">
        <f t="shared" si="49"/>
        <v>0</v>
      </c>
      <c r="L313" s="136">
        <f t="shared" si="47"/>
        <v>0</v>
      </c>
      <c r="M313" s="136">
        <v>0</v>
      </c>
    </row>
    <row r="314" spans="2:13" ht="12.75">
      <c r="B314" s="140">
        <f t="shared" si="48"/>
      </c>
      <c r="C314" s="141">
        <f t="shared" si="46"/>
        <v>300</v>
      </c>
      <c r="D314" s="142">
        <f t="shared" si="50"/>
        <v>47088</v>
      </c>
      <c r="E314" s="134">
        <f t="shared" si="51"/>
        <v>81781.35110149898</v>
      </c>
      <c r="F314" s="195">
        <f t="shared" si="56"/>
        <v>408.9067555074949</v>
      </c>
      <c r="G314" s="134">
        <f t="shared" si="52"/>
        <v>1149.9246098896783</v>
      </c>
      <c r="H314" s="134">
        <f t="shared" si="53"/>
        <v>80631.4264916093</v>
      </c>
      <c r="I314" s="144">
        <f t="shared" si="54"/>
        <v>288280.8361107611</v>
      </c>
      <c r="J314" s="138">
        <f t="shared" si="55"/>
        <v>179368.57350839087</v>
      </c>
      <c r="K314" s="198">
        <f t="shared" si="49"/>
        <v>0</v>
      </c>
      <c r="L314" s="136">
        <f t="shared" si="47"/>
        <v>0</v>
      </c>
      <c r="M314" s="136">
        <v>0</v>
      </c>
    </row>
    <row r="315" spans="2:13" ht="12.75">
      <c r="B315" s="140" t="str">
        <f t="shared" si="48"/>
        <v>Year 26</v>
      </c>
      <c r="C315" s="141">
        <f t="shared" si="46"/>
        <v>301</v>
      </c>
      <c r="D315" s="142">
        <f t="shared" si="50"/>
        <v>47119</v>
      </c>
      <c r="E315" s="134">
        <f t="shared" si="51"/>
        <v>80631.4264916093</v>
      </c>
      <c r="F315" s="195">
        <f t="shared" si="56"/>
        <v>403.1571324580465</v>
      </c>
      <c r="G315" s="134">
        <f t="shared" si="52"/>
        <v>1155.6742329391268</v>
      </c>
      <c r="H315" s="134">
        <f t="shared" si="53"/>
        <v>79475.75225867017</v>
      </c>
      <c r="I315" s="144">
        <f t="shared" si="54"/>
        <v>288683.99324321916</v>
      </c>
      <c r="J315" s="138">
        <f t="shared" si="55"/>
        <v>180524.24774132998</v>
      </c>
      <c r="K315" s="198">
        <f t="shared" si="49"/>
        <v>0</v>
      </c>
      <c r="L315" s="136">
        <f t="shared" si="47"/>
        <v>0</v>
      </c>
      <c r="M315" s="136">
        <v>0</v>
      </c>
    </row>
    <row r="316" spans="2:13" ht="12.75">
      <c r="B316" s="140">
        <f t="shared" si="48"/>
      </c>
      <c r="C316" s="141">
        <f t="shared" si="46"/>
        <v>302</v>
      </c>
      <c r="D316" s="142">
        <f t="shared" si="50"/>
        <v>47150</v>
      </c>
      <c r="E316" s="134">
        <f t="shared" si="51"/>
        <v>79475.75225867017</v>
      </c>
      <c r="F316" s="195">
        <f t="shared" si="56"/>
        <v>397.37876129335086</v>
      </c>
      <c r="G316" s="134">
        <f t="shared" si="52"/>
        <v>1161.4526041038223</v>
      </c>
      <c r="H316" s="134">
        <f t="shared" si="53"/>
        <v>78314.29965456635</v>
      </c>
      <c r="I316" s="144">
        <f t="shared" si="54"/>
        <v>289081.3720045125</v>
      </c>
      <c r="J316" s="138">
        <f t="shared" si="55"/>
        <v>181685.7003454338</v>
      </c>
      <c r="K316" s="198">
        <f t="shared" si="49"/>
        <v>0</v>
      </c>
      <c r="L316" s="136">
        <f t="shared" si="47"/>
        <v>0</v>
      </c>
      <c r="M316" s="136">
        <v>0</v>
      </c>
    </row>
    <row r="317" spans="2:13" ht="12.75">
      <c r="B317" s="140">
        <f t="shared" si="48"/>
      </c>
      <c r="C317" s="141">
        <f t="shared" si="46"/>
        <v>303</v>
      </c>
      <c r="D317" s="142">
        <f t="shared" si="50"/>
        <v>47178</v>
      </c>
      <c r="E317" s="134">
        <f t="shared" si="51"/>
        <v>78314.29965456635</v>
      </c>
      <c r="F317" s="195">
        <f t="shared" si="56"/>
        <v>391.5714982728318</v>
      </c>
      <c r="G317" s="134">
        <f t="shared" si="52"/>
        <v>1167.2598671243413</v>
      </c>
      <c r="H317" s="134">
        <f t="shared" si="53"/>
        <v>77147.039787442</v>
      </c>
      <c r="I317" s="144">
        <f t="shared" si="54"/>
        <v>289472.94350278535</v>
      </c>
      <c r="J317" s="138">
        <f t="shared" si="55"/>
        <v>182852.96021255816</v>
      </c>
      <c r="K317" s="198">
        <f t="shared" si="49"/>
        <v>0</v>
      </c>
      <c r="L317" s="136">
        <f t="shared" si="47"/>
        <v>0</v>
      </c>
      <c r="M317" s="136">
        <v>0</v>
      </c>
    </row>
    <row r="318" spans="2:13" ht="12.75">
      <c r="B318" s="140">
        <f t="shared" si="48"/>
      </c>
      <c r="C318" s="141">
        <f t="shared" si="46"/>
        <v>304</v>
      </c>
      <c r="D318" s="142">
        <f t="shared" si="50"/>
        <v>47209</v>
      </c>
      <c r="E318" s="134">
        <f t="shared" si="51"/>
        <v>77147.039787442</v>
      </c>
      <c r="F318" s="195">
        <f t="shared" si="56"/>
        <v>385.73519893721004</v>
      </c>
      <c r="G318" s="134">
        <f t="shared" si="52"/>
        <v>1173.0961664599631</v>
      </c>
      <c r="H318" s="134">
        <f t="shared" si="53"/>
        <v>75973.94362098204</v>
      </c>
      <c r="I318" s="144">
        <f t="shared" si="54"/>
        <v>289858.6787017225</v>
      </c>
      <c r="J318" s="138">
        <f t="shared" si="55"/>
        <v>184026.05637901812</v>
      </c>
      <c r="K318" s="198">
        <f t="shared" si="49"/>
        <v>0</v>
      </c>
      <c r="L318" s="136">
        <f t="shared" si="47"/>
        <v>0</v>
      </c>
      <c r="M318" s="136">
        <v>0</v>
      </c>
    </row>
    <row r="319" spans="2:13" ht="12.75">
      <c r="B319" s="140">
        <f t="shared" si="48"/>
      </c>
      <c r="C319" s="141">
        <f t="shared" si="46"/>
        <v>305</v>
      </c>
      <c r="D319" s="142">
        <f t="shared" si="50"/>
        <v>47239</v>
      </c>
      <c r="E319" s="134">
        <f t="shared" si="51"/>
        <v>75973.94362098204</v>
      </c>
      <c r="F319" s="195">
        <f t="shared" si="56"/>
        <v>379.8697181049102</v>
      </c>
      <c r="G319" s="134">
        <f t="shared" si="52"/>
        <v>1178.961647292263</v>
      </c>
      <c r="H319" s="134">
        <f t="shared" si="53"/>
        <v>74794.98197368978</v>
      </c>
      <c r="I319" s="144">
        <f t="shared" si="54"/>
        <v>290238.5484198274</v>
      </c>
      <c r="J319" s="138">
        <f t="shared" si="55"/>
        <v>185205.01802631037</v>
      </c>
      <c r="K319" s="198">
        <f t="shared" si="49"/>
        <v>0</v>
      </c>
      <c r="L319" s="136">
        <f t="shared" si="47"/>
        <v>0</v>
      </c>
      <c r="M319" s="136">
        <v>0</v>
      </c>
    </row>
    <row r="320" spans="2:13" ht="12.75">
      <c r="B320" s="140">
        <f t="shared" si="48"/>
      </c>
      <c r="C320" s="141">
        <f t="shared" si="46"/>
        <v>306</v>
      </c>
      <c r="D320" s="142">
        <f t="shared" si="50"/>
        <v>47270</v>
      </c>
      <c r="E320" s="134">
        <f t="shared" si="51"/>
        <v>74794.98197368978</v>
      </c>
      <c r="F320" s="195">
        <f t="shared" si="56"/>
        <v>373.9749098684489</v>
      </c>
      <c r="G320" s="134">
        <f t="shared" si="52"/>
        <v>1184.8564555287244</v>
      </c>
      <c r="H320" s="134">
        <f t="shared" si="53"/>
        <v>73610.12551816105</v>
      </c>
      <c r="I320" s="144">
        <f t="shared" si="54"/>
        <v>290612.52332969586</v>
      </c>
      <c r="J320" s="138">
        <f t="shared" si="55"/>
        <v>186389.8744818391</v>
      </c>
      <c r="K320" s="198">
        <f t="shared" si="49"/>
        <v>0</v>
      </c>
      <c r="L320" s="136">
        <f t="shared" si="47"/>
        <v>0</v>
      </c>
      <c r="M320" s="136">
        <v>0</v>
      </c>
    </row>
    <row r="321" spans="2:13" ht="12.75">
      <c r="B321" s="140">
        <f t="shared" si="48"/>
      </c>
      <c r="C321" s="141">
        <f t="shared" si="46"/>
        <v>307</v>
      </c>
      <c r="D321" s="142">
        <f t="shared" si="50"/>
        <v>47300</v>
      </c>
      <c r="E321" s="134">
        <f t="shared" si="51"/>
        <v>73610.12551816105</v>
      </c>
      <c r="F321" s="195">
        <f t="shared" si="56"/>
        <v>368.0506275908052</v>
      </c>
      <c r="G321" s="134">
        <f t="shared" si="52"/>
        <v>1190.780737806368</v>
      </c>
      <c r="H321" s="134">
        <f t="shared" si="53"/>
        <v>72419.34478035467</v>
      </c>
      <c r="I321" s="144">
        <f t="shared" si="54"/>
        <v>290980.57395728666</v>
      </c>
      <c r="J321" s="138">
        <f t="shared" si="55"/>
        <v>187580.65521964547</v>
      </c>
      <c r="K321" s="198">
        <f t="shared" si="49"/>
        <v>0</v>
      </c>
      <c r="L321" s="136">
        <f t="shared" si="47"/>
        <v>0</v>
      </c>
      <c r="M321" s="136">
        <v>0</v>
      </c>
    </row>
    <row r="322" spans="2:13" ht="12.75">
      <c r="B322" s="140">
        <f t="shared" si="48"/>
      </c>
      <c r="C322" s="141">
        <f t="shared" si="46"/>
        <v>308</v>
      </c>
      <c r="D322" s="142">
        <f t="shared" si="50"/>
        <v>47331</v>
      </c>
      <c r="E322" s="134">
        <f t="shared" si="51"/>
        <v>72419.34478035467</v>
      </c>
      <c r="F322" s="195">
        <f t="shared" si="56"/>
        <v>362.0967239017734</v>
      </c>
      <c r="G322" s="134">
        <f t="shared" si="52"/>
        <v>1196.7346414953997</v>
      </c>
      <c r="H322" s="134">
        <f t="shared" si="53"/>
        <v>71222.61013885928</v>
      </c>
      <c r="I322" s="144">
        <f t="shared" si="54"/>
        <v>291342.6706811884</v>
      </c>
      <c r="J322" s="138">
        <f t="shared" si="55"/>
        <v>188777.38986114087</v>
      </c>
      <c r="K322" s="198">
        <f t="shared" si="49"/>
        <v>0</v>
      </c>
      <c r="L322" s="136">
        <f t="shared" si="47"/>
        <v>0</v>
      </c>
      <c r="M322" s="136">
        <v>0</v>
      </c>
    </row>
    <row r="323" spans="2:13" ht="12.75">
      <c r="B323" s="140">
        <f t="shared" si="48"/>
      </c>
      <c r="C323" s="141">
        <f t="shared" si="46"/>
        <v>309</v>
      </c>
      <c r="D323" s="142">
        <f t="shared" si="50"/>
        <v>47362</v>
      </c>
      <c r="E323" s="134">
        <f t="shared" si="51"/>
        <v>71222.61013885928</v>
      </c>
      <c r="F323" s="195">
        <f t="shared" si="56"/>
        <v>356.1130506942964</v>
      </c>
      <c r="G323" s="134">
        <f t="shared" si="52"/>
        <v>1202.7183147028768</v>
      </c>
      <c r="H323" s="134">
        <f t="shared" si="53"/>
        <v>70019.89182415641</v>
      </c>
      <c r="I323" s="144">
        <f t="shared" si="54"/>
        <v>291698.7837318827</v>
      </c>
      <c r="J323" s="138">
        <f t="shared" si="55"/>
        <v>189980.10817584375</v>
      </c>
      <c r="K323" s="198">
        <f t="shared" si="49"/>
        <v>0</v>
      </c>
      <c r="L323" s="136">
        <f t="shared" si="47"/>
        <v>0</v>
      </c>
      <c r="M323" s="136">
        <v>0</v>
      </c>
    </row>
    <row r="324" spans="2:13" ht="12.75">
      <c r="B324" s="140">
        <f t="shared" si="48"/>
      </c>
      <c r="C324" s="141">
        <f t="shared" si="46"/>
        <v>310</v>
      </c>
      <c r="D324" s="142">
        <f t="shared" si="50"/>
        <v>47392</v>
      </c>
      <c r="E324" s="134">
        <f t="shared" si="51"/>
        <v>70019.89182415641</v>
      </c>
      <c r="F324" s="195">
        <f t="shared" si="56"/>
        <v>350.09945912078206</v>
      </c>
      <c r="G324" s="134">
        <f t="shared" si="52"/>
        <v>1208.731906276391</v>
      </c>
      <c r="H324" s="134">
        <f t="shared" si="53"/>
        <v>68811.15991788002</v>
      </c>
      <c r="I324" s="144">
        <f t="shared" si="54"/>
        <v>292048.88319100346</v>
      </c>
      <c r="J324" s="138">
        <f t="shared" si="55"/>
        <v>191188.84008212015</v>
      </c>
      <c r="K324" s="198">
        <f t="shared" si="49"/>
        <v>0</v>
      </c>
      <c r="L324" s="136">
        <f t="shared" si="47"/>
        <v>0</v>
      </c>
      <c r="M324" s="136">
        <v>0</v>
      </c>
    </row>
    <row r="325" spans="2:13" ht="12.75">
      <c r="B325" s="140">
        <f t="shared" si="48"/>
      </c>
      <c r="C325" s="141">
        <f t="shared" si="46"/>
        <v>311</v>
      </c>
      <c r="D325" s="142">
        <f t="shared" si="50"/>
        <v>47423</v>
      </c>
      <c r="E325" s="134">
        <f t="shared" si="51"/>
        <v>68811.15991788002</v>
      </c>
      <c r="F325" s="195">
        <f t="shared" si="56"/>
        <v>344.0557995894001</v>
      </c>
      <c r="G325" s="134">
        <f t="shared" si="52"/>
        <v>1214.775565807773</v>
      </c>
      <c r="H325" s="134">
        <f t="shared" si="53"/>
        <v>67596.38435207226</v>
      </c>
      <c r="I325" s="144">
        <f t="shared" si="54"/>
        <v>292392.93899059284</v>
      </c>
      <c r="J325" s="138">
        <f t="shared" si="55"/>
        <v>192403.61564792792</v>
      </c>
      <c r="K325" s="198">
        <f t="shared" si="49"/>
        <v>0</v>
      </c>
      <c r="L325" s="136">
        <f t="shared" si="47"/>
        <v>0</v>
      </c>
      <c r="M325" s="136">
        <v>0</v>
      </c>
    </row>
    <row r="326" spans="2:13" ht="12.75">
      <c r="B326" s="140">
        <f t="shared" si="48"/>
      </c>
      <c r="C326" s="141">
        <f t="shared" si="46"/>
        <v>312</v>
      </c>
      <c r="D326" s="142">
        <f t="shared" si="50"/>
        <v>47453</v>
      </c>
      <c r="E326" s="134">
        <f t="shared" si="51"/>
        <v>67596.38435207226</v>
      </c>
      <c r="F326" s="195">
        <f t="shared" si="56"/>
        <v>337.9819217603613</v>
      </c>
      <c r="G326" s="134">
        <f t="shared" si="52"/>
        <v>1220.8494436368119</v>
      </c>
      <c r="H326" s="134">
        <f t="shared" si="53"/>
        <v>66375.53490843545</v>
      </c>
      <c r="I326" s="144">
        <f t="shared" si="54"/>
        <v>292730.9209123532</v>
      </c>
      <c r="J326" s="138">
        <f t="shared" si="55"/>
        <v>193624.46509156472</v>
      </c>
      <c r="K326" s="198">
        <f t="shared" si="49"/>
        <v>0</v>
      </c>
      <c r="L326" s="136">
        <f t="shared" si="47"/>
        <v>0</v>
      </c>
      <c r="M326" s="136">
        <v>0</v>
      </c>
    </row>
    <row r="327" spans="2:13" ht="12.75">
      <c r="B327" s="140" t="str">
        <f t="shared" si="48"/>
        <v>Year 27</v>
      </c>
      <c r="C327" s="141">
        <f t="shared" si="46"/>
        <v>313</v>
      </c>
      <c r="D327" s="142">
        <f t="shared" si="50"/>
        <v>47484</v>
      </c>
      <c r="E327" s="134">
        <f t="shared" si="51"/>
        <v>66375.53490843545</v>
      </c>
      <c r="F327" s="195">
        <f t="shared" si="56"/>
        <v>331.87767454217726</v>
      </c>
      <c r="G327" s="134">
        <f t="shared" si="52"/>
        <v>1226.9536908549958</v>
      </c>
      <c r="H327" s="134">
        <f t="shared" si="53"/>
        <v>65148.58121758046</v>
      </c>
      <c r="I327" s="144">
        <f t="shared" si="54"/>
        <v>293062.7985868954</v>
      </c>
      <c r="J327" s="138">
        <f t="shared" si="55"/>
        <v>194851.41878241973</v>
      </c>
      <c r="K327" s="198">
        <f t="shared" si="49"/>
        <v>0</v>
      </c>
      <c r="L327" s="136">
        <f t="shared" si="47"/>
        <v>0</v>
      </c>
      <c r="M327" s="136">
        <v>0</v>
      </c>
    </row>
    <row r="328" spans="2:13" ht="12.75">
      <c r="B328" s="140">
        <f t="shared" si="48"/>
      </c>
      <c r="C328" s="141">
        <f t="shared" si="46"/>
        <v>314</v>
      </c>
      <c r="D328" s="142">
        <f t="shared" si="50"/>
        <v>47515</v>
      </c>
      <c r="E328" s="134">
        <f t="shared" si="51"/>
        <v>65148.58121758046</v>
      </c>
      <c r="F328" s="195">
        <f t="shared" si="56"/>
        <v>325.7429060879023</v>
      </c>
      <c r="G328" s="134">
        <f t="shared" si="52"/>
        <v>1233.0884593092708</v>
      </c>
      <c r="H328" s="134">
        <f t="shared" si="53"/>
        <v>63915.49275827119</v>
      </c>
      <c r="I328" s="144">
        <f t="shared" si="54"/>
        <v>293388.5414929833</v>
      </c>
      <c r="J328" s="138">
        <f t="shared" si="55"/>
        <v>196084.507241729</v>
      </c>
      <c r="K328" s="198">
        <f t="shared" si="49"/>
        <v>0</v>
      </c>
      <c r="L328" s="136">
        <f t="shared" si="47"/>
        <v>0</v>
      </c>
      <c r="M328" s="136">
        <v>0</v>
      </c>
    </row>
    <row r="329" spans="2:13" ht="12.75">
      <c r="B329" s="140">
        <f t="shared" si="48"/>
      </c>
      <c r="C329" s="141">
        <f t="shared" si="46"/>
        <v>315</v>
      </c>
      <c r="D329" s="142">
        <f t="shared" si="50"/>
        <v>47543</v>
      </c>
      <c r="E329" s="134">
        <f t="shared" si="51"/>
        <v>63915.49275827119</v>
      </c>
      <c r="F329" s="195">
        <f t="shared" si="56"/>
        <v>319.57746379135597</v>
      </c>
      <c r="G329" s="134">
        <f t="shared" si="52"/>
        <v>1239.2539016058172</v>
      </c>
      <c r="H329" s="134">
        <f t="shared" si="53"/>
        <v>62676.238856665375</v>
      </c>
      <c r="I329" s="144">
        <f t="shared" si="54"/>
        <v>293708.11895677465</v>
      </c>
      <c r="J329" s="138">
        <f t="shared" si="55"/>
        <v>197323.76114333482</v>
      </c>
      <c r="K329" s="198">
        <f t="shared" si="49"/>
        <v>0</v>
      </c>
      <c r="L329" s="136">
        <f t="shared" si="47"/>
        <v>0</v>
      </c>
      <c r="M329" s="136">
        <v>0</v>
      </c>
    </row>
    <row r="330" spans="2:13" ht="12.75">
      <c r="B330" s="140">
        <f t="shared" si="48"/>
      </c>
      <c r="C330" s="141">
        <f aca="true" t="shared" si="57" ref="C330:C374">C329+1</f>
        <v>316</v>
      </c>
      <c r="D330" s="142">
        <f t="shared" si="50"/>
        <v>47574</v>
      </c>
      <c r="E330" s="134">
        <f t="shared" si="51"/>
        <v>62676.238856665375</v>
      </c>
      <c r="F330" s="195">
        <f t="shared" si="56"/>
        <v>313.38119428332686</v>
      </c>
      <c r="G330" s="134">
        <f t="shared" si="52"/>
        <v>1245.4501711138464</v>
      </c>
      <c r="H330" s="134">
        <f t="shared" si="53"/>
        <v>61430.78868555153</v>
      </c>
      <c r="I330" s="144">
        <f t="shared" si="54"/>
        <v>294021.50015105796</v>
      </c>
      <c r="J330" s="138">
        <f t="shared" si="55"/>
        <v>198569.21131444868</v>
      </c>
      <c r="K330" s="198">
        <f t="shared" si="49"/>
        <v>0</v>
      </c>
      <c r="L330" s="136">
        <f t="shared" si="47"/>
        <v>0</v>
      </c>
      <c r="M330" s="136">
        <v>0</v>
      </c>
    </row>
    <row r="331" spans="2:13" ht="12.75">
      <c r="B331" s="140">
        <f t="shared" si="48"/>
      </c>
      <c r="C331" s="141">
        <f t="shared" si="57"/>
        <v>317</v>
      </c>
      <c r="D331" s="142">
        <f t="shared" si="50"/>
        <v>47604</v>
      </c>
      <c r="E331" s="134">
        <f t="shared" si="51"/>
        <v>61430.78868555153</v>
      </c>
      <c r="F331" s="195">
        <f t="shared" si="56"/>
        <v>307.15394342775767</v>
      </c>
      <c r="G331" s="134">
        <f t="shared" si="52"/>
        <v>1251.6774219694155</v>
      </c>
      <c r="H331" s="134">
        <f t="shared" si="53"/>
        <v>60179.11126358212</v>
      </c>
      <c r="I331" s="144">
        <f t="shared" si="54"/>
        <v>294328.65409448574</v>
      </c>
      <c r="J331" s="138">
        <f t="shared" si="55"/>
        <v>199820.8887364181</v>
      </c>
      <c r="K331" s="198">
        <f t="shared" si="49"/>
        <v>0</v>
      </c>
      <c r="L331" s="136">
        <f aca="true" t="shared" si="58" ref="L331:L374">L330</f>
        <v>0</v>
      </c>
      <c r="M331" s="136">
        <v>0</v>
      </c>
    </row>
    <row r="332" spans="2:13" ht="12.75">
      <c r="B332" s="140">
        <f t="shared" si="48"/>
      </c>
      <c r="C332" s="141">
        <f t="shared" si="57"/>
        <v>318</v>
      </c>
      <c r="D332" s="142">
        <f t="shared" si="50"/>
        <v>47635</v>
      </c>
      <c r="E332" s="134">
        <f t="shared" si="51"/>
        <v>60179.11126358212</v>
      </c>
      <c r="F332" s="195">
        <f t="shared" si="56"/>
        <v>300.8955563179106</v>
      </c>
      <c r="G332" s="134">
        <f t="shared" si="52"/>
        <v>1257.9358090792625</v>
      </c>
      <c r="H332" s="134">
        <f t="shared" si="53"/>
        <v>58921.17545450286</v>
      </c>
      <c r="I332" s="144">
        <f t="shared" si="54"/>
        <v>294629.5496508037</v>
      </c>
      <c r="J332" s="138">
        <f t="shared" si="55"/>
        <v>201078.82454549737</v>
      </c>
      <c r="K332" s="198">
        <f t="shared" si="49"/>
        <v>0</v>
      </c>
      <c r="L332" s="136">
        <f t="shared" si="58"/>
        <v>0</v>
      </c>
      <c r="M332" s="136">
        <v>0</v>
      </c>
    </row>
    <row r="333" spans="2:13" ht="12.75">
      <c r="B333" s="140">
        <f t="shared" si="48"/>
      </c>
      <c r="C333" s="141">
        <f t="shared" si="57"/>
        <v>319</v>
      </c>
      <c r="D333" s="142">
        <f t="shared" si="50"/>
        <v>47665</v>
      </c>
      <c r="E333" s="134">
        <f t="shared" si="51"/>
        <v>58921.17545450286</v>
      </c>
      <c r="F333" s="195">
        <f t="shared" si="56"/>
        <v>294.6058772725143</v>
      </c>
      <c r="G333" s="134">
        <f t="shared" si="52"/>
        <v>1264.2254881246588</v>
      </c>
      <c r="H333" s="134">
        <f t="shared" si="53"/>
        <v>57656.949966378204</v>
      </c>
      <c r="I333" s="144">
        <f t="shared" si="54"/>
        <v>294924.15552807617</v>
      </c>
      <c r="J333" s="138">
        <f t="shared" si="55"/>
        <v>202343.050033622</v>
      </c>
      <c r="K333" s="198">
        <f t="shared" si="49"/>
        <v>0</v>
      </c>
      <c r="L333" s="136">
        <f t="shared" si="58"/>
        <v>0</v>
      </c>
      <c r="M333" s="136">
        <v>0</v>
      </c>
    </row>
    <row r="334" spans="2:13" ht="12.75">
      <c r="B334" s="140">
        <f t="shared" si="48"/>
      </c>
      <c r="C334" s="141">
        <f t="shared" si="57"/>
        <v>320</v>
      </c>
      <c r="D334" s="142">
        <f t="shared" si="50"/>
        <v>47696</v>
      </c>
      <c r="E334" s="134">
        <f t="shared" si="51"/>
        <v>57656.949966378204</v>
      </c>
      <c r="F334" s="195">
        <f t="shared" si="56"/>
        <v>288.284749831891</v>
      </c>
      <c r="G334" s="134">
        <f t="shared" si="52"/>
        <v>1270.546615565282</v>
      </c>
      <c r="H334" s="134">
        <f t="shared" si="53"/>
        <v>56386.40335081292</v>
      </c>
      <c r="I334" s="144">
        <f t="shared" si="54"/>
        <v>295212.44027790806</v>
      </c>
      <c r="J334" s="138">
        <f t="shared" si="55"/>
        <v>203613.5966491873</v>
      </c>
      <c r="K334" s="198">
        <f t="shared" si="49"/>
        <v>0</v>
      </c>
      <c r="L334" s="136">
        <f t="shared" si="58"/>
        <v>0</v>
      </c>
      <c r="M334" s="136">
        <v>0</v>
      </c>
    </row>
    <row r="335" spans="2:13" ht="12.75">
      <c r="B335" s="140">
        <f aca="true" t="shared" si="59" ref="B335:B374">IF((C335-1)/12=TRUNC((C335-1)/12),"Year "&amp;(C335-1)/12+1,"")</f>
      </c>
      <c r="C335" s="141">
        <f t="shared" si="57"/>
        <v>321</v>
      </c>
      <c r="D335" s="142">
        <f t="shared" si="50"/>
        <v>47727</v>
      </c>
      <c r="E335" s="134">
        <f t="shared" si="51"/>
        <v>56386.40335081292</v>
      </c>
      <c r="F335" s="195">
        <f t="shared" si="56"/>
        <v>281.9320167540646</v>
      </c>
      <c r="G335" s="134">
        <f t="shared" si="52"/>
        <v>1276.8993486431086</v>
      </c>
      <c r="H335" s="134">
        <f t="shared" si="53"/>
        <v>55109.504002169815</v>
      </c>
      <c r="I335" s="144">
        <f t="shared" si="54"/>
        <v>295494.3722946621</v>
      </c>
      <c r="J335" s="138">
        <f t="shared" si="55"/>
        <v>204890.4959978304</v>
      </c>
      <c r="K335" s="198">
        <f aca="true" t="shared" si="60" ref="K335:K374">L335+M335</f>
        <v>0</v>
      </c>
      <c r="L335" s="136">
        <f t="shared" si="58"/>
        <v>0</v>
      </c>
      <c r="M335" s="136">
        <v>0</v>
      </c>
    </row>
    <row r="336" spans="2:13" ht="12.75">
      <c r="B336" s="140">
        <f t="shared" si="59"/>
      </c>
      <c r="C336" s="141">
        <f t="shared" si="57"/>
        <v>322</v>
      </c>
      <c r="D336" s="142">
        <f aca="true" t="shared" si="61" ref="D336:D374">DATE(YEAR(D335),MONTH(D335)+1,DAY(D335))</f>
        <v>47757</v>
      </c>
      <c r="E336" s="134">
        <f aca="true" t="shared" si="62" ref="E336:E374">IF(no_of_payments&gt;=C336,H335,0)</f>
        <v>55109.504002169815</v>
      </c>
      <c r="F336" s="195">
        <f t="shared" si="56"/>
        <v>275.5475200108491</v>
      </c>
      <c r="G336" s="134">
        <f aca="true" t="shared" si="63" ref="G336:G374">IF(H335-G335&lt;=0,H335,$E$10-F336)</f>
        <v>1283.2838453863242</v>
      </c>
      <c r="H336" s="134">
        <f aca="true" t="shared" si="64" ref="H336:H374">IF(E336-G336-K335&gt;=0,E336-G336-K335,0)</f>
        <v>53826.22015678349</v>
      </c>
      <c r="I336" s="144">
        <f aca="true" t="shared" si="65" ref="I336:I374">I335+F336</f>
        <v>295769.91981467296</v>
      </c>
      <c r="J336" s="138">
        <f aca="true" t="shared" si="66" ref="J336:J374">J335+G336</f>
        <v>206173.77984321673</v>
      </c>
      <c r="K336" s="198">
        <f t="shared" si="60"/>
        <v>0</v>
      </c>
      <c r="L336" s="136">
        <f t="shared" si="58"/>
        <v>0</v>
      </c>
      <c r="M336" s="136">
        <v>0</v>
      </c>
    </row>
    <row r="337" spans="2:13" ht="12.75">
      <c r="B337" s="140">
        <f t="shared" si="59"/>
      </c>
      <c r="C337" s="141">
        <f t="shared" si="57"/>
        <v>323</v>
      </c>
      <c r="D337" s="142">
        <f t="shared" si="61"/>
        <v>47788</v>
      </c>
      <c r="E337" s="134">
        <f t="shared" si="62"/>
        <v>53826.22015678349</v>
      </c>
      <c r="F337" s="195">
        <f t="shared" si="56"/>
        <v>269.1311007839175</v>
      </c>
      <c r="G337" s="134">
        <f t="shared" si="63"/>
        <v>1289.7002646132557</v>
      </c>
      <c r="H337" s="134">
        <f t="shared" si="64"/>
        <v>52536.51989217024</v>
      </c>
      <c r="I337" s="144">
        <f t="shared" si="65"/>
        <v>296039.0509154569</v>
      </c>
      <c r="J337" s="138">
        <f t="shared" si="66"/>
        <v>207463.48010783</v>
      </c>
      <c r="K337" s="198">
        <f t="shared" si="60"/>
        <v>0</v>
      </c>
      <c r="L337" s="136">
        <f t="shared" si="58"/>
        <v>0</v>
      </c>
      <c r="M337" s="136">
        <v>0</v>
      </c>
    </row>
    <row r="338" spans="2:13" ht="12.75">
      <c r="B338" s="140">
        <f t="shared" si="59"/>
      </c>
      <c r="C338" s="141">
        <f t="shared" si="57"/>
        <v>324</v>
      </c>
      <c r="D338" s="142">
        <f t="shared" si="61"/>
        <v>47818</v>
      </c>
      <c r="E338" s="134">
        <f t="shared" si="62"/>
        <v>52536.51989217024</v>
      </c>
      <c r="F338" s="195">
        <f t="shared" si="56"/>
        <v>262.6825994608512</v>
      </c>
      <c r="G338" s="134">
        <f t="shared" si="63"/>
        <v>1296.148765936322</v>
      </c>
      <c r="H338" s="134">
        <f t="shared" si="64"/>
        <v>51240.37112623392</v>
      </c>
      <c r="I338" s="144">
        <f t="shared" si="65"/>
        <v>296301.7335149177</v>
      </c>
      <c r="J338" s="138">
        <f t="shared" si="66"/>
        <v>208759.6288737663</v>
      </c>
      <c r="K338" s="198">
        <f t="shared" si="60"/>
        <v>0</v>
      </c>
      <c r="L338" s="136">
        <f t="shared" si="58"/>
        <v>0</v>
      </c>
      <c r="M338" s="136">
        <v>0</v>
      </c>
    </row>
    <row r="339" spans="2:13" ht="12.75">
      <c r="B339" s="140" t="str">
        <f t="shared" si="59"/>
        <v>Year 28</v>
      </c>
      <c r="C339" s="141">
        <f t="shared" si="57"/>
        <v>325</v>
      </c>
      <c r="D339" s="142">
        <f t="shared" si="61"/>
        <v>47849</v>
      </c>
      <c r="E339" s="134">
        <f t="shared" si="62"/>
        <v>51240.37112623392</v>
      </c>
      <c r="F339" s="195">
        <f t="shared" si="56"/>
        <v>256.2018556311696</v>
      </c>
      <c r="G339" s="134">
        <f t="shared" si="63"/>
        <v>1302.6295097660036</v>
      </c>
      <c r="H339" s="134">
        <f t="shared" si="64"/>
        <v>49937.741616467916</v>
      </c>
      <c r="I339" s="144">
        <f t="shared" si="65"/>
        <v>296557.9353705489</v>
      </c>
      <c r="J339" s="138">
        <f t="shared" si="66"/>
        <v>210062.25838353232</v>
      </c>
      <c r="K339" s="198">
        <f t="shared" si="60"/>
        <v>0</v>
      </c>
      <c r="L339" s="136">
        <f t="shared" si="58"/>
        <v>0</v>
      </c>
      <c r="M339" s="136">
        <v>0</v>
      </c>
    </row>
    <row r="340" spans="2:13" ht="12.75">
      <c r="B340" s="140">
        <f t="shared" si="59"/>
      </c>
      <c r="C340" s="141">
        <f t="shared" si="57"/>
        <v>326</v>
      </c>
      <c r="D340" s="142">
        <f t="shared" si="61"/>
        <v>47880</v>
      </c>
      <c r="E340" s="134">
        <f t="shared" si="62"/>
        <v>49937.741616467916</v>
      </c>
      <c r="F340" s="195">
        <f t="shared" si="56"/>
        <v>249.6887080823396</v>
      </c>
      <c r="G340" s="134">
        <f t="shared" si="63"/>
        <v>1309.1426573148335</v>
      </c>
      <c r="H340" s="134">
        <f t="shared" si="64"/>
        <v>48628.59895915308</v>
      </c>
      <c r="I340" s="144">
        <f t="shared" si="65"/>
        <v>296807.6240786313</v>
      </c>
      <c r="J340" s="138">
        <f t="shared" si="66"/>
        <v>211371.40104084715</v>
      </c>
      <c r="K340" s="198">
        <f t="shared" si="60"/>
        <v>0</v>
      </c>
      <c r="L340" s="136">
        <f t="shared" si="58"/>
        <v>0</v>
      </c>
      <c r="M340" s="136">
        <v>0</v>
      </c>
    </row>
    <row r="341" spans="2:13" ht="12.75">
      <c r="B341" s="140">
        <f t="shared" si="59"/>
      </c>
      <c r="C341" s="141">
        <f t="shared" si="57"/>
        <v>327</v>
      </c>
      <c r="D341" s="142">
        <f t="shared" si="61"/>
        <v>47908</v>
      </c>
      <c r="E341" s="134">
        <f t="shared" si="62"/>
        <v>48628.59895915308</v>
      </c>
      <c r="F341" s="195">
        <f t="shared" si="56"/>
        <v>243.14299479576542</v>
      </c>
      <c r="G341" s="134">
        <f t="shared" si="63"/>
        <v>1315.6883706014078</v>
      </c>
      <c r="H341" s="134">
        <f t="shared" si="64"/>
        <v>47312.91058855168</v>
      </c>
      <c r="I341" s="144">
        <f t="shared" si="65"/>
        <v>297050.76707342704</v>
      </c>
      <c r="J341" s="138">
        <f t="shared" si="66"/>
        <v>212687.08941144857</v>
      </c>
      <c r="K341" s="198">
        <f t="shared" si="60"/>
        <v>0</v>
      </c>
      <c r="L341" s="136">
        <f t="shared" si="58"/>
        <v>0</v>
      </c>
      <c r="M341" s="136">
        <v>0</v>
      </c>
    </row>
    <row r="342" spans="2:13" ht="12.75">
      <c r="B342" s="140">
        <f t="shared" si="59"/>
      </c>
      <c r="C342" s="141">
        <f t="shared" si="57"/>
        <v>328</v>
      </c>
      <c r="D342" s="142">
        <f t="shared" si="61"/>
        <v>47939</v>
      </c>
      <c r="E342" s="134">
        <f t="shared" si="62"/>
        <v>47312.91058855168</v>
      </c>
      <c r="F342" s="195">
        <f t="shared" si="56"/>
        <v>236.56455294275838</v>
      </c>
      <c r="G342" s="134">
        <f t="shared" si="63"/>
        <v>1322.2668124544148</v>
      </c>
      <c r="H342" s="134">
        <f t="shared" si="64"/>
        <v>45990.64377609726</v>
      </c>
      <c r="I342" s="144">
        <f t="shared" si="65"/>
        <v>297287.3316263698</v>
      </c>
      <c r="J342" s="138">
        <f t="shared" si="66"/>
        <v>214009.35622390299</v>
      </c>
      <c r="K342" s="198">
        <f t="shared" si="60"/>
        <v>0</v>
      </c>
      <c r="L342" s="136">
        <f t="shared" si="58"/>
        <v>0</v>
      </c>
      <c r="M342" s="136">
        <v>0</v>
      </c>
    </row>
    <row r="343" spans="2:13" ht="12.75">
      <c r="B343" s="140">
        <f t="shared" si="59"/>
      </c>
      <c r="C343" s="141">
        <f t="shared" si="57"/>
        <v>329</v>
      </c>
      <c r="D343" s="142">
        <f t="shared" si="61"/>
        <v>47969</v>
      </c>
      <c r="E343" s="134">
        <f t="shared" si="62"/>
        <v>45990.64377609726</v>
      </c>
      <c r="F343" s="195">
        <f t="shared" si="56"/>
        <v>229.9532188804863</v>
      </c>
      <c r="G343" s="134">
        <f t="shared" si="63"/>
        <v>1328.878146516687</v>
      </c>
      <c r="H343" s="134">
        <f t="shared" si="64"/>
        <v>44661.76562958057</v>
      </c>
      <c r="I343" s="144">
        <f t="shared" si="65"/>
        <v>297517.28484525025</v>
      </c>
      <c r="J343" s="138">
        <f t="shared" si="66"/>
        <v>215338.23437041967</v>
      </c>
      <c r="K343" s="198">
        <f t="shared" si="60"/>
        <v>0</v>
      </c>
      <c r="L343" s="136">
        <f t="shared" si="58"/>
        <v>0</v>
      </c>
      <c r="M343" s="136">
        <v>0</v>
      </c>
    </row>
    <row r="344" spans="2:13" ht="12.75">
      <c r="B344" s="140">
        <f t="shared" si="59"/>
      </c>
      <c r="C344" s="141">
        <f t="shared" si="57"/>
        <v>330</v>
      </c>
      <c r="D344" s="142">
        <f t="shared" si="61"/>
        <v>48000</v>
      </c>
      <c r="E344" s="134">
        <f t="shared" si="62"/>
        <v>44661.76562958057</v>
      </c>
      <c r="F344" s="195">
        <f t="shared" si="56"/>
        <v>223.30882814790286</v>
      </c>
      <c r="G344" s="134">
        <f t="shared" si="63"/>
        <v>1335.5225372492703</v>
      </c>
      <c r="H344" s="134">
        <f t="shared" si="64"/>
        <v>43326.2430923313</v>
      </c>
      <c r="I344" s="144">
        <f t="shared" si="65"/>
        <v>297740.59367339814</v>
      </c>
      <c r="J344" s="138">
        <f t="shared" si="66"/>
        <v>216673.75690766893</v>
      </c>
      <c r="K344" s="198">
        <f t="shared" si="60"/>
        <v>0</v>
      </c>
      <c r="L344" s="136">
        <f t="shared" si="58"/>
        <v>0</v>
      </c>
      <c r="M344" s="136">
        <v>0</v>
      </c>
    </row>
    <row r="345" spans="2:13" ht="12.75">
      <c r="B345" s="140">
        <f t="shared" si="59"/>
      </c>
      <c r="C345" s="141">
        <f t="shared" si="57"/>
        <v>331</v>
      </c>
      <c r="D345" s="142">
        <f t="shared" si="61"/>
        <v>48030</v>
      </c>
      <c r="E345" s="134">
        <f t="shared" si="62"/>
        <v>43326.2430923313</v>
      </c>
      <c r="F345" s="195">
        <f t="shared" si="56"/>
        <v>216.6312154616565</v>
      </c>
      <c r="G345" s="134">
        <f t="shared" si="63"/>
        <v>1342.2001499355167</v>
      </c>
      <c r="H345" s="134">
        <f t="shared" si="64"/>
        <v>41984.04294239578</v>
      </c>
      <c r="I345" s="144">
        <f t="shared" si="65"/>
        <v>297957.2248888598</v>
      </c>
      <c r="J345" s="138">
        <f t="shared" si="66"/>
        <v>218015.95705760445</v>
      </c>
      <c r="K345" s="198">
        <f t="shared" si="60"/>
        <v>0</v>
      </c>
      <c r="L345" s="136">
        <f t="shared" si="58"/>
        <v>0</v>
      </c>
      <c r="M345" s="136">
        <v>0</v>
      </c>
    </row>
    <row r="346" spans="2:13" ht="12.75">
      <c r="B346" s="140">
        <f t="shared" si="59"/>
      </c>
      <c r="C346" s="141">
        <f t="shared" si="57"/>
        <v>332</v>
      </c>
      <c r="D346" s="142">
        <f t="shared" si="61"/>
        <v>48061</v>
      </c>
      <c r="E346" s="134">
        <f t="shared" si="62"/>
        <v>41984.04294239578</v>
      </c>
      <c r="F346" s="195">
        <f t="shared" si="56"/>
        <v>209.92021471197893</v>
      </c>
      <c r="G346" s="134">
        <f t="shared" si="63"/>
        <v>1348.9111506851941</v>
      </c>
      <c r="H346" s="134">
        <f t="shared" si="64"/>
        <v>40635.13179171059</v>
      </c>
      <c r="I346" s="144">
        <f t="shared" si="65"/>
        <v>298167.14510357176</v>
      </c>
      <c r="J346" s="138">
        <f t="shared" si="66"/>
        <v>219364.86820828964</v>
      </c>
      <c r="K346" s="198">
        <f t="shared" si="60"/>
        <v>0</v>
      </c>
      <c r="L346" s="136">
        <f t="shared" si="58"/>
        <v>0</v>
      </c>
      <c r="M346" s="136">
        <v>0</v>
      </c>
    </row>
    <row r="347" spans="2:13" ht="12.75">
      <c r="B347" s="140">
        <f t="shared" si="59"/>
      </c>
      <c r="C347" s="141">
        <f t="shared" si="57"/>
        <v>333</v>
      </c>
      <c r="D347" s="142">
        <f t="shared" si="61"/>
        <v>48092</v>
      </c>
      <c r="E347" s="134">
        <f t="shared" si="62"/>
        <v>40635.13179171059</v>
      </c>
      <c r="F347" s="195">
        <f t="shared" si="56"/>
        <v>203.17565895855296</v>
      </c>
      <c r="G347" s="134">
        <f t="shared" si="63"/>
        <v>1355.6557064386202</v>
      </c>
      <c r="H347" s="134">
        <f t="shared" si="64"/>
        <v>39279.47608527197</v>
      </c>
      <c r="I347" s="144">
        <f t="shared" si="65"/>
        <v>298370.3207625303</v>
      </c>
      <c r="J347" s="138">
        <f t="shared" si="66"/>
        <v>220720.52391472826</v>
      </c>
      <c r="K347" s="198">
        <f t="shared" si="60"/>
        <v>0</v>
      </c>
      <c r="L347" s="136">
        <f t="shared" si="58"/>
        <v>0</v>
      </c>
      <c r="M347" s="136">
        <v>0</v>
      </c>
    </row>
    <row r="348" spans="2:13" ht="12.75">
      <c r="B348" s="140">
        <f t="shared" si="59"/>
      </c>
      <c r="C348" s="141">
        <f t="shared" si="57"/>
        <v>334</v>
      </c>
      <c r="D348" s="142">
        <f t="shared" si="61"/>
        <v>48122</v>
      </c>
      <c r="E348" s="134">
        <f t="shared" si="62"/>
        <v>39279.47608527197</v>
      </c>
      <c r="F348" s="195">
        <f t="shared" si="56"/>
        <v>196.39738042635986</v>
      </c>
      <c r="G348" s="134">
        <f t="shared" si="63"/>
        <v>1362.4339849708133</v>
      </c>
      <c r="H348" s="134">
        <f t="shared" si="64"/>
        <v>37917.04210030116</v>
      </c>
      <c r="I348" s="144">
        <f t="shared" si="65"/>
        <v>298566.71814295667</v>
      </c>
      <c r="J348" s="138">
        <f t="shared" si="66"/>
        <v>222082.95789969907</v>
      </c>
      <c r="K348" s="198">
        <f t="shared" si="60"/>
        <v>0</v>
      </c>
      <c r="L348" s="136">
        <f t="shared" si="58"/>
        <v>0</v>
      </c>
      <c r="M348" s="136">
        <v>0</v>
      </c>
    </row>
    <row r="349" spans="2:13" ht="12.75">
      <c r="B349" s="140">
        <f t="shared" si="59"/>
      </c>
      <c r="C349" s="141">
        <f t="shared" si="57"/>
        <v>335</v>
      </c>
      <c r="D349" s="142">
        <f t="shared" si="61"/>
        <v>48153</v>
      </c>
      <c r="E349" s="134">
        <f t="shared" si="62"/>
        <v>37917.04210030116</v>
      </c>
      <c r="F349" s="195">
        <f t="shared" si="56"/>
        <v>189.5852105015058</v>
      </c>
      <c r="G349" s="134">
        <f t="shared" si="63"/>
        <v>1369.2461548956674</v>
      </c>
      <c r="H349" s="134">
        <f t="shared" si="64"/>
        <v>36547.79594540549</v>
      </c>
      <c r="I349" s="144">
        <f t="shared" si="65"/>
        <v>298756.3033534582</v>
      </c>
      <c r="J349" s="138">
        <f t="shared" si="66"/>
        <v>223452.20405459474</v>
      </c>
      <c r="K349" s="198">
        <f t="shared" si="60"/>
        <v>0</v>
      </c>
      <c r="L349" s="136">
        <f t="shared" si="58"/>
        <v>0</v>
      </c>
      <c r="M349" s="136">
        <v>0</v>
      </c>
    </row>
    <row r="350" spans="2:13" ht="12.75">
      <c r="B350" s="140">
        <f t="shared" si="59"/>
      </c>
      <c r="C350" s="141">
        <f t="shared" si="57"/>
        <v>336</v>
      </c>
      <c r="D350" s="142">
        <f t="shared" si="61"/>
        <v>48183</v>
      </c>
      <c r="E350" s="134">
        <f t="shared" si="62"/>
        <v>36547.79594540549</v>
      </c>
      <c r="F350" s="195">
        <f t="shared" si="56"/>
        <v>182.73897972702744</v>
      </c>
      <c r="G350" s="134">
        <f t="shared" si="63"/>
        <v>1376.0923856701456</v>
      </c>
      <c r="H350" s="134">
        <f t="shared" si="64"/>
        <v>35171.70355973534</v>
      </c>
      <c r="I350" s="144">
        <f t="shared" si="65"/>
        <v>298939.0423331852</v>
      </c>
      <c r="J350" s="138">
        <f t="shared" si="66"/>
        <v>224828.29644026488</v>
      </c>
      <c r="K350" s="198">
        <f t="shared" si="60"/>
        <v>0</v>
      </c>
      <c r="L350" s="136">
        <f t="shared" si="58"/>
        <v>0</v>
      </c>
      <c r="M350" s="136">
        <v>0</v>
      </c>
    </row>
    <row r="351" spans="2:13" ht="12.75">
      <c r="B351" s="140" t="str">
        <f t="shared" si="59"/>
        <v>Year 29</v>
      </c>
      <c r="C351" s="141">
        <f t="shared" si="57"/>
        <v>337</v>
      </c>
      <c r="D351" s="142">
        <f t="shared" si="61"/>
        <v>48214</v>
      </c>
      <c r="E351" s="134">
        <f t="shared" si="62"/>
        <v>35171.70355973534</v>
      </c>
      <c r="F351" s="195">
        <f t="shared" si="56"/>
        <v>175.8585177986767</v>
      </c>
      <c r="G351" s="134">
        <f t="shared" si="63"/>
        <v>1382.9728475984964</v>
      </c>
      <c r="H351" s="134">
        <f t="shared" si="64"/>
        <v>33788.73071213684</v>
      </c>
      <c r="I351" s="144">
        <f t="shared" si="65"/>
        <v>299114.90085098386</v>
      </c>
      <c r="J351" s="138">
        <f t="shared" si="66"/>
        <v>226211.26928786337</v>
      </c>
      <c r="K351" s="198">
        <f t="shared" si="60"/>
        <v>0</v>
      </c>
      <c r="L351" s="136">
        <f t="shared" si="58"/>
        <v>0</v>
      </c>
      <c r="M351" s="136">
        <v>0</v>
      </c>
    </row>
    <row r="352" spans="2:13" ht="12.75">
      <c r="B352" s="140">
        <f t="shared" si="59"/>
      </c>
      <c r="C352" s="141">
        <f t="shared" si="57"/>
        <v>338</v>
      </c>
      <c r="D352" s="142">
        <f t="shared" si="61"/>
        <v>48245</v>
      </c>
      <c r="E352" s="134">
        <f t="shared" si="62"/>
        <v>33788.73071213684</v>
      </c>
      <c r="F352" s="195">
        <f t="shared" si="56"/>
        <v>168.94365356068423</v>
      </c>
      <c r="G352" s="134">
        <f t="shared" si="63"/>
        <v>1389.887711836489</v>
      </c>
      <c r="H352" s="134">
        <f t="shared" si="64"/>
        <v>32398.843000300352</v>
      </c>
      <c r="I352" s="144">
        <f t="shared" si="65"/>
        <v>299283.84450454457</v>
      </c>
      <c r="J352" s="138">
        <f t="shared" si="66"/>
        <v>227601.15699969986</v>
      </c>
      <c r="K352" s="198">
        <f t="shared" si="60"/>
        <v>0</v>
      </c>
      <c r="L352" s="136">
        <f t="shared" si="58"/>
        <v>0</v>
      </c>
      <c r="M352" s="136">
        <v>0</v>
      </c>
    </row>
    <row r="353" spans="2:13" ht="12.75">
      <c r="B353" s="140">
        <f t="shared" si="59"/>
      </c>
      <c r="C353" s="141">
        <f t="shared" si="57"/>
        <v>339</v>
      </c>
      <c r="D353" s="142">
        <f t="shared" si="61"/>
        <v>48274</v>
      </c>
      <c r="E353" s="134">
        <f t="shared" si="62"/>
        <v>32398.843000300352</v>
      </c>
      <c r="F353" s="195">
        <f t="shared" si="56"/>
        <v>161.99421500150177</v>
      </c>
      <c r="G353" s="134">
        <f t="shared" si="63"/>
        <v>1396.8371503956714</v>
      </c>
      <c r="H353" s="134">
        <f t="shared" si="64"/>
        <v>31002.00584990468</v>
      </c>
      <c r="I353" s="144">
        <f t="shared" si="65"/>
        <v>299445.8387195461</v>
      </c>
      <c r="J353" s="138">
        <f t="shared" si="66"/>
        <v>228997.99415009553</v>
      </c>
      <c r="K353" s="198">
        <f t="shared" si="60"/>
        <v>0</v>
      </c>
      <c r="L353" s="136">
        <f t="shared" si="58"/>
        <v>0</v>
      </c>
      <c r="M353" s="136">
        <v>0</v>
      </c>
    </row>
    <row r="354" spans="2:13" ht="12.75">
      <c r="B354" s="140">
        <f t="shared" si="59"/>
      </c>
      <c r="C354" s="141">
        <f t="shared" si="57"/>
        <v>340</v>
      </c>
      <c r="D354" s="142">
        <f t="shared" si="61"/>
        <v>48305</v>
      </c>
      <c r="E354" s="134">
        <f t="shared" si="62"/>
        <v>31002.00584990468</v>
      </c>
      <c r="F354" s="195">
        <f aca="true" t="shared" si="67" ref="F354:F374">$E$6/$E$8*E354</f>
        <v>155.0100292495234</v>
      </c>
      <c r="G354" s="134">
        <f t="shared" si="63"/>
        <v>1403.8213361476498</v>
      </c>
      <c r="H354" s="134">
        <f t="shared" si="64"/>
        <v>29598.18451375703</v>
      </c>
      <c r="I354" s="144">
        <f t="shared" si="65"/>
        <v>299600.84874879563</v>
      </c>
      <c r="J354" s="138">
        <f t="shared" si="66"/>
        <v>230401.81548624317</v>
      </c>
      <c r="K354" s="198">
        <f t="shared" si="60"/>
        <v>0</v>
      </c>
      <c r="L354" s="136">
        <f t="shared" si="58"/>
        <v>0</v>
      </c>
      <c r="M354" s="136">
        <v>0</v>
      </c>
    </row>
    <row r="355" spans="2:13" ht="12.75">
      <c r="B355" s="140">
        <f t="shared" si="59"/>
      </c>
      <c r="C355" s="141">
        <f t="shared" si="57"/>
        <v>341</v>
      </c>
      <c r="D355" s="142">
        <f t="shared" si="61"/>
        <v>48335</v>
      </c>
      <c r="E355" s="134">
        <f t="shared" si="62"/>
        <v>29598.18451375703</v>
      </c>
      <c r="F355" s="195">
        <f t="shared" si="67"/>
        <v>147.99092256878515</v>
      </c>
      <c r="G355" s="134">
        <f t="shared" si="63"/>
        <v>1410.840442828388</v>
      </c>
      <c r="H355" s="134">
        <f t="shared" si="64"/>
        <v>28187.344070928644</v>
      </c>
      <c r="I355" s="144">
        <f t="shared" si="65"/>
        <v>299748.8396713644</v>
      </c>
      <c r="J355" s="138">
        <f t="shared" si="66"/>
        <v>231812.65592907157</v>
      </c>
      <c r="K355" s="198">
        <f t="shared" si="60"/>
        <v>0</v>
      </c>
      <c r="L355" s="136">
        <f t="shared" si="58"/>
        <v>0</v>
      </c>
      <c r="M355" s="136">
        <v>0</v>
      </c>
    </row>
    <row r="356" spans="2:13" ht="12.75">
      <c r="B356" s="140">
        <f t="shared" si="59"/>
      </c>
      <c r="C356" s="141">
        <f t="shared" si="57"/>
        <v>342</v>
      </c>
      <c r="D356" s="142">
        <f t="shared" si="61"/>
        <v>48366</v>
      </c>
      <c r="E356" s="134">
        <f t="shared" si="62"/>
        <v>28187.344070928644</v>
      </c>
      <c r="F356" s="195">
        <f t="shared" si="67"/>
        <v>140.93672035464323</v>
      </c>
      <c r="G356" s="134">
        <f t="shared" si="63"/>
        <v>1417.8946450425299</v>
      </c>
      <c r="H356" s="134">
        <f t="shared" si="64"/>
        <v>26769.449425886116</v>
      </c>
      <c r="I356" s="144">
        <f t="shared" si="65"/>
        <v>299889.77639171906</v>
      </c>
      <c r="J356" s="138">
        <f t="shared" si="66"/>
        <v>233230.5505741141</v>
      </c>
      <c r="K356" s="198">
        <f t="shared" si="60"/>
        <v>0</v>
      </c>
      <c r="L356" s="136">
        <f t="shared" si="58"/>
        <v>0</v>
      </c>
      <c r="M356" s="136">
        <v>0</v>
      </c>
    </row>
    <row r="357" spans="2:13" ht="12.75">
      <c r="B357" s="140">
        <f t="shared" si="59"/>
      </c>
      <c r="C357" s="141">
        <f t="shared" si="57"/>
        <v>343</v>
      </c>
      <c r="D357" s="142">
        <f t="shared" si="61"/>
        <v>48396</v>
      </c>
      <c r="E357" s="134">
        <f t="shared" si="62"/>
        <v>26769.449425886116</v>
      </c>
      <c r="F357" s="195">
        <f t="shared" si="67"/>
        <v>133.84724712943057</v>
      </c>
      <c r="G357" s="134">
        <f t="shared" si="63"/>
        <v>1424.9841182677426</v>
      </c>
      <c r="H357" s="134">
        <f t="shared" si="64"/>
        <v>25344.465307618375</v>
      </c>
      <c r="I357" s="144">
        <f t="shared" si="65"/>
        <v>300023.6236388485</v>
      </c>
      <c r="J357" s="138">
        <f t="shared" si="66"/>
        <v>234655.53469238186</v>
      </c>
      <c r="K357" s="198">
        <f t="shared" si="60"/>
        <v>0</v>
      </c>
      <c r="L357" s="136">
        <f t="shared" si="58"/>
        <v>0</v>
      </c>
      <c r="M357" s="136">
        <v>0</v>
      </c>
    </row>
    <row r="358" spans="2:13" ht="12.75">
      <c r="B358" s="140">
        <f t="shared" si="59"/>
      </c>
      <c r="C358" s="141">
        <f t="shared" si="57"/>
        <v>344</v>
      </c>
      <c r="D358" s="142">
        <f t="shared" si="61"/>
        <v>48427</v>
      </c>
      <c r="E358" s="134">
        <f t="shared" si="62"/>
        <v>25344.465307618375</v>
      </c>
      <c r="F358" s="195">
        <f t="shared" si="67"/>
        <v>126.72232653809188</v>
      </c>
      <c r="G358" s="134">
        <f t="shared" si="63"/>
        <v>1432.1090388590812</v>
      </c>
      <c r="H358" s="134">
        <f t="shared" si="64"/>
        <v>23912.356268759293</v>
      </c>
      <c r="I358" s="144">
        <f t="shared" si="65"/>
        <v>300150.3459653866</v>
      </c>
      <c r="J358" s="138">
        <f t="shared" si="66"/>
        <v>236087.64373124094</v>
      </c>
      <c r="K358" s="198">
        <f t="shared" si="60"/>
        <v>0</v>
      </c>
      <c r="L358" s="136">
        <f t="shared" si="58"/>
        <v>0</v>
      </c>
      <c r="M358" s="136">
        <v>0</v>
      </c>
    </row>
    <row r="359" spans="2:13" ht="12.75">
      <c r="B359" s="140">
        <f t="shared" si="59"/>
      </c>
      <c r="C359" s="141">
        <f t="shared" si="57"/>
        <v>345</v>
      </c>
      <c r="D359" s="142">
        <f t="shared" si="61"/>
        <v>48458</v>
      </c>
      <c r="E359" s="134">
        <f t="shared" si="62"/>
        <v>23912.356268759293</v>
      </c>
      <c r="F359" s="195">
        <f t="shared" si="67"/>
        <v>119.56178134379647</v>
      </c>
      <c r="G359" s="134">
        <f t="shared" si="63"/>
        <v>1439.2695840533768</v>
      </c>
      <c r="H359" s="134">
        <f t="shared" si="64"/>
        <v>22473.086684705915</v>
      </c>
      <c r="I359" s="144">
        <f t="shared" si="65"/>
        <v>300269.9077467304</v>
      </c>
      <c r="J359" s="138">
        <f t="shared" si="66"/>
        <v>237526.9133152943</v>
      </c>
      <c r="K359" s="198">
        <f t="shared" si="60"/>
        <v>0</v>
      </c>
      <c r="L359" s="136">
        <f t="shared" si="58"/>
        <v>0</v>
      </c>
      <c r="M359" s="136">
        <v>0</v>
      </c>
    </row>
    <row r="360" spans="2:13" ht="12.75">
      <c r="B360" s="140">
        <f t="shared" si="59"/>
      </c>
      <c r="C360" s="141">
        <f t="shared" si="57"/>
        <v>346</v>
      </c>
      <c r="D360" s="142">
        <f t="shared" si="61"/>
        <v>48488</v>
      </c>
      <c r="E360" s="134">
        <f t="shared" si="62"/>
        <v>22473.086684705915</v>
      </c>
      <c r="F360" s="195">
        <f t="shared" si="67"/>
        <v>112.36543342352958</v>
      </c>
      <c r="G360" s="134">
        <f t="shared" si="63"/>
        <v>1446.4659319736436</v>
      </c>
      <c r="H360" s="134">
        <f t="shared" si="64"/>
        <v>21026.620752732273</v>
      </c>
      <c r="I360" s="144">
        <f t="shared" si="65"/>
        <v>300382.2731801539</v>
      </c>
      <c r="J360" s="138">
        <f t="shared" si="66"/>
        <v>238973.37924726796</v>
      </c>
      <c r="K360" s="198">
        <f t="shared" si="60"/>
        <v>0</v>
      </c>
      <c r="L360" s="136">
        <f t="shared" si="58"/>
        <v>0</v>
      </c>
      <c r="M360" s="136">
        <v>0</v>
      </c>
    </row>
    <row r="361" spans="2:13" ht="12.75">
      <c r="B361" s="140">
        <f t="shared" si="59"/>
      </c>
      <c r="C361" s="141">
        <f t="shared" si="57"/>
        <v>347</v>
      </c>
      <c r="D361" s="142">
        <f t="shared" si="61"/>
        <v>48519</v>
      </c>
      <c r="E361" s="134">
        <f t="shared" si="62"/>
        <v>21026.620752732273</v>
      </c>
      <c r="F361" s="195">
        <f t="shared" si="67"/>
        <v>105.13310376366137</v>
      </c>
      <c r="G361" s="134">
        <f t="shared" si="63"/>
        <v>1453.6982616335117</v>
      </c>
      <c r="H361" s="134">
        <f t="shared" si="64"/>
        <v>19572.92249109876</v>
      </c>
      <c r="I361" s="144">
        <f t="shared" si="65"/>
        <v>300487.4062839176</v>
      </c>
      <c r="J361" s="138">
        <f t="shared" si="66"/>
        <v>240427.07750890148</v>
      </c>
      <c r="K361" s="198">
        <f t="shared" si="60"/>
        <v>0</v>
      </c>
      <c r="L361" s="136">
        <f t="shared" si="58"/>
        <v>0</v>
      </c>
      <c r="M361" s="136">
        <v>0</v>
      </c>
    </row>
    <row r="362" spans="2:13" ht="12.75">
      <c r="B362" s="140">
        <f t="shared" si="59"/>
      </c>
      <c r="C362" s="141">
        <f t="shared" si="57"/>
        <v>348</v>
      </c>
      <c r="D362" s="142">
        <f t="shared" si="61"/>
        <v>48549</v>
      </c>
      <c r="E362" s="134">
        <f t="shared" si="62"/>
        <v>19572.92249109876</v>
      </c>
      <c r="F362" s="195">
        <f t="shared" si="67"/>
        <v>97.86461245549381</v>
      </c>
      <c r="G362" s="134">
        <f t="shared" si="63"/>
        <v>1460.9667529416793</v>
      </c>
      <c r="H362" s="134">
        <f t="shared" si="64"/>
        <v>18111.95573815708</v>
      </c>
      <c r="I362" s="144">
        <f t="shared" si="65"/>
        <v>300585.2708963731</v>
      </c>
      <c r="J362" s="138">
        <f t="shared" si="66"/>
        <v>241888.04426184317</v>
      </c>
      <c r="K362" s="198">
        <f t="shared" si="60"/>
        <v>0</v>
      </c>
      <c r="L362" s="136">
        <f t="shared" si="58"/>
        <v>0</v>
      </c>
      <c r="M362" s="136">
        <v>0</v>
      </c>
    </row>
    <row r="363" spans="2:13" ht="12.75">
      <c r="B363" s="140" t="str">
        <f t="shared" si="59"/>
        <v>Year 30</v>
      </c>
      <c r="C363" s="141">
        <f t="shared" si="57"/>
        <v>349</v>
      </c>
      <c r="D363" s="142">
        <f t="shared" si="61"/>
        <v>48580</v>
      </c>
      <c r="E363" s="134">
        <f t="shared" si="62"/>
        <v>18111.95573815708</v>
      </c>
      <c r="F363" s="195">
        <f t="shared" si="67"/>
        <v>90.55977869078541</v>
      </c>
      <c r="G363" s="134">
        <f t="shared" si="63"/>
        <v>1468.2715867063878</v>
      </c>
      <c r="H363" s="134">
        <f t="shared" si="64"/>
        <v>16643.684151450692</v>
      </c>
      <c r="I363" s="144">
        <f t="shared" si="65"/>
        <v>300675.8306750639</v>
      </c>
      <c r="J363" s="138">
        <f t="shared" si="66"/>
        <v>243356.31584854957</v>
      </c>
      <c r="K363" s="198">
        <f t="shared" si="60"/>
        <v>0</v>
      </c>
      <c r="L363" s="136">
        <f t="shared" si="58"/>
        <v>0</v>
      </c>
      <c r="M363" s="136">
        <v>0</v>
      </c>
    </row>
    <row r="364" spans="2:13" ht="12.75">
      <c r="B364" s="140">
        <f t="shared" si="59"/>
      </c>
      <c r="C364" s="141">
        <f t="shared" si="57"/>
        <v>350</v>
      </c>
      <c r="D364" s="142">
        <f t="shared" si="61"/>
        <v>48611</v>
      </c>
      <c r="E364" s="134">
        <f t="shared" si="62"/>
        <v>16643.684151450692</v>
      </c>
      <c r="F364" s="195">
        <f t="shared" si="67"/>
        <v>83.21842075725347</v>
      </c>
      <c r="G364" s="134">
        <f t="shared" si="63"/>
        <v>1475.6129446399198</v>
      </c>
      <c r="H364" s="134">
        <f t="shared" si="64"/>
        <v>15168.071206810773</v>
      </c>
      <c r="I364" s="144">
        <f t="shared" si="65"/>
        <v>300759.04909582116</v>
      </c>
      <c r="J364" s="138">
        <f t="shared" si="66"/>
        <v>244831.9287931895</v>
      </c>
      <c r="K364" s="198">
        <f t="shared" si="60"/>
        <v>0</v>
      </c>
      <c r="L364" s="136">
        <f t="shared" si="58"/>
        <v>0</v>
      </c>
      <c r="M364" s="136">
        <v>0</v>
      </c>
    </row>
    <row r="365" spans="2:13" ht="12.75">
      <c r="B365" s="140">
        <f t="shared" si="59"/>
      </c>
      <c r="C365" s="141">
        <f t="shared" si="57"/>
        <v>351</v>
      </c>
      <c r="D365" s="142">
        <f t="shared" si="61"/>
        <v>48639</v>
      </c>
      <c r="E365" s="134">
        <f t="shared" si="62"/>
        <v>15168.071206810773</v>
      </c>
      <c r="F365" s="195">
        <f t="shared" si="67"/>
        <v>75.84035603405387</v>
      </c>
      <c r="G365" s="134">
        <f t="shared" si="63"/>
        <v>1482.9910093631192</v>
      </c>
      <c r="H365" s="134">
        <f t="shared" si="64"/>
        <v>13685.080197447654</v>
      </c>
      <c r="I365" s="144">
        <f t="shared" si="65"/>
        <v>300834.8894518552</v>
      </c>
      <c r="J365" s="138">
        <f t="shared" si="66"/>
        <v>246314.9198025526</v>
      </c>
      <c r="K365" s="198">
        <f t="shared" si="60"/>
        <v>0</v>
      </c>
      <c r="L365" s="136">
        <f t="shared" si="58"/>
        <v>0</v>
      </c>
      <c r="M365" s="136">
        <v>0</v>
      </c>
    </row>
    <row r="366" spans="2:13" ht="12.75">
      <c r="B366" s="140">
        <f t="shared" si="59"/>
      </c>
      <c r="C366" s="141">
        <f t="shared" si="57"/>
        <v>352</v>
      </c>
      <c r="D366" s="142">
        <f t="shared" si="61"/>
        <v>48670</v>
      </c>
      <c r="E366" s="134">
        <f t="shared" si="62"/>
        <v>13685.080197447654</v>
      </c>
      <c r="F366" s="195">
        <f t="shared" si="67"/>
        <v>68.42540098723828</v>
      </c>
      <c r="G366" s="134">
        <f t="shared" si="63"/>
        <v>1490.4059644099348</v>
      </c>
      <c r="H366" s="134">
        <f t="shared" si="64"/>
        <v>12194.67423303772</v>
      </c>
      <c r="I366" s="144">
        <f t="shared" si="65"/>
        <v>300903.3148528424</v>
      </c>
      <c r="J366" s="138">
        <f t="shared" si="66"/>
        <v>247805.32576696255</v>
      </c>
      <c r="K366" s="198">
        <f t="shared" si="60"/>
        <v>0</v>
      </c>
      <c r="L366" s="136">
        <f t="shared" si="58"/>
        <v>0</v>
      </c>
      <c r="M366" s="136">
        <v>0</v>
      </c>
    </row>
    <row r="367" spans="2:13" ht="12.75">
      <c r="B367" s="140">
        <f t="shared" si="59"/>
      </c>
      <c r="C367" s="141">
        <f t="shared" si="57"/>
        <v>353</v>
      </c>
      <c r="D367" s="142">
        <f t="shared" si="61"/>
        <v>48700</v>
      </c>
      <c r="E367" s="134">
        <f t="shared" si="62"/>
        <v>12194.67423303772</v>
      </c>
      <c r="F367" s="195">
        <f t="shared" si="67"/>
        <v>60.9733711651886</v>
      </c>
      <c r="G367" s="134">
        <f t="shared" si="63"/>
        <v>1497.8579942319845</v>
      </c>
      <c r="H367" s="134">
        <f t="shared" si="64"/>
        <v>10696.816238805735</v>
      </c>
      <c r="I367" s="144">
        <f t="shared" si="65"/>
        <v>300964.2882240076</v>
      </c>
      <c r="J367" s="138">
        <f t="shared" si="66"/>
        <v>249303.18376119452</v>
      </c>
      <c r="K367" s="198">
        <f t="shared" si="60"/>
        <v>0</v>
      </c>
      <c r="L367" s="136">
        <f t="shared" si="58"/>
        <v>0</v>
      </c>
      <c r="M367" s="136">
        <v>0</v>
      </c>
    </row>
    <row r="368" spans="2:13" ht="12.75">
      <c r="B368" s="140">
        <f t="shared" si="59"/>
      </c>
      <c r="C368" s="141">
        <f t="shared" si="57"/>
        <v>354</v>
      </c>
      <c r="D368" s="142">
        <f t="shared" si="61"/>
        <v>48731</v>
      </c>
      <c r="E368" s="134">
        <f t="shared" si="62"/>
        <v>10696.816238805735</v>
      </c>
      <c r="F368" s="195">
        <f t="shared" si="67"/>
        <v>53.484081194028676</v>
      </c>
      <c r="G368" s="134">
        <f t="shared" si="63"/>
        <v>1505.3472842031445</v>
      </c>
      <c r="H368" s="134">
        <f t="shared" si="64"/>
        <v>9191.468954602591</v>
      </c>
      <c r="I368" s="144">
        <f t="shared" si="65"/>
        <v>301017.7723052016</v>
      </c>
      <c r="J368" s="138">
        <f t="shared" si="66"/>
        <v>250808.53104539766</v>
      </c>
      <c r="K368" s="198">
        <f t="shared" si="60"/>
        <v>0</v>
      </c>
      <c r="L368" s="136">
        <f t="shared" si="58"/>
        <v>0</v>
      </c>
      <c r="M368" s="136">
        <v>0</v>
      </c>
    </row>
    <row r="369" spans="2:13" ht="12.75">
      <c r="B369" s="140">
        <f t="shared" si="59"/>
      </c>
      <c r="C369" s="141">
        <f t="shared" si="57"/>
        <v>355</v>
      </c>
      <c r="D369" s="142">
        <f t="shared" si="61"/>
        <v>48761</v>
      </c>
      <c r="E369" s="134">
        <f t="shared" si="62"/>
        <v>9191.468954602591</v>
      </c>
      <c r="F369" s="195">
        <f t="shared" si="67"/>
        <v>45.957344773012956</v>
      </c>
      <c r="G369" s="134">
        <f t="shared" si="63"/>
        <v>1512.8740206241603</v>
      </c>
      <c r="H369" s="134">
        <f t="shared" si="64"/>
        <v>7678.594933978431</v>
      </c>
      <c r="I369" s="144">
        <f t="shared" si="65"/>
        <v>301063.7296499746</v>
      </c>
      <c r="J369" s="138">
        <f t="shared" si="66"/>
        <v>252321.4050660218</v>
      </c>
      <c r="K369" s="198">
        <f t="shared" si="60"/>
        <v>0</v>
      </c>
      <c r="L369" s="136">
        <f t="shared" si="58"/>
        <v>0</v>
      </c>
      <c r="M369" s="136">
        <v>0</v>
      </c>
    </row>
    <row r="370" spans="2:13" ht="12.75">
      <c r="B370" s="140">
        <f t="shared" si="59"/>
      </c>
      <c r="C370" s="141">
        <f t="shared" si="57"/>
        <v>356</v>
      </c>
      <c r="D370" s="142">
        <f t="shared" si="61"/>
        <v>48792</v>
      </c>
      <c r="E370" s="134">
        <f t="shared" si="62"/>
        <v>7678.594933978431</v>
      </c>
      <c r="F370" s="195">
        <f t="shared" si="67"/>
        <v>38.392974669892155</v>
      </c>
      <c r="G370" s="134">
        <f t="shared" si="63"/>
        <v>1520.438390727281</v>
      </c>
      <c r="H370" s="134">
        <f t="shared" si="64"/>
        <v>6158.15654325115</v>
      </c>
      <c r="I370" s="144">
        <f t="shared" si="65"/>
        <v>301102.1226246445</v>
      </c>
      <c r="J370" s="138">
        <f t="shared" si="66"/>
        <v>253841.84345674908</v>
      </c>
      <c r="K370" s="198">
        <f t="shared" si="60"/>
        <v>0</v>
      </c>
      <c r="L370" s="136">
        <f t="shared" si="58"/>
        <v>0</v>
      </c>
      <c r="M370" s="136">
        <v>0</v>
      </c>
    </row>
    <row r="371" spans="2:13" ht="12.75">
      <c r="B371" s="140">
        <f t="shared" si="59"/>
      </c>
      <c r="C371" s="141">
        <f t="shared" si="57"/>
        <v>357</v>
      </c>
      <c r="D371" s="142">
        <f t="shared" si="61"/>
        <v>48823</v>
      </c>
      <c r="E371" s="134">
        <f t="shared" si="62"/>
        <v>6158.15654325115</v>
      </c>
      <c r="F371" s="195">
        <f t="shared" si="67"/>
        <v>30.790782716255748</v>
      </c>
      <c r="G371" s="134">
        <f t="shared" si="63"/>
        <v>1528.0405826809174</v>
      </c>
      <c r="H371" s="134">
        <f t="shared" si="64"/>
        <v>4630.115960570232</v>
      </c>
      <c r="I371" s="144">
        <f t="shared" si="65"/>
        <v>301132.9134073607</v>
      </c>
      <c r="J371" s="138">
        <f t="shared" si="66"/>
        <v>255369.88403943</v>
      </c>
      <c r="K371" s="198">
        <f t="shared" si="60"/>
        <v>0</v>
      </c>
      <c r="L371" s="136">
        <f t="shared" si="58"/>
        <v>0</v>
      </c>
      <c r="M371" s="136">
        <v>0</v>
      </c>
    </row>
    <row r="372" spans="2:13" ht="12.75">
      <c r="B372" s="140">
        <f t="shared" si="59"/>
      </c>
      <c r="C372" s="141">
        <f t="shared" si="57"/>
        <v>358</v>
      </c>
      <c r="D372" s="142">
        <f t="shared" si="61"/>
        <v>48853</v>
      </c>
      <c r="E372" s="134">
        <f t="shared" si="62"/>
        <v>4630.115960570232</v>
      </c>
      <c r="F372" s="195">
        <f t="shared" si="67"/>
        <v>23.150579802851162</v>
      </c>
      <c r="G372" s="134">
        <f t="shared" si="63"/>
        <v>1535.680785594322</v>
      </c>
      <c r="H372" s="134">
        <f t="shared" si="64"/>
        <v>3094.4351749759103</v>
      </c>
      <c r="I372" s="144">
        <f t="shared" si="65"/>
        <v>301156.0639871636</v>
      </c>
      <c r="J372" s="138">
        <f t="shared" si="66"/>
        <v>256905.56482502434</v>
      </c>
      <c r="K372" s="198">
        <f t="shared" si="60"/>
        <v>0</v>
      </c>
      <c r="L372" s="136">
        <f t="shared" si="58"/>
        <v>0</v>
      </c>
      <c r="M372" s="136">
        <v>0</v>
      </c>
    </row>
    <row r="373" spans="2:13" ht="12.75">
      <c r="B373" s="140">
        <f t="shared" si="59"/>
      </c>
      <c r="C373" s="141">
        <f t="shared" si="57"/>
        <v>359</v>
      </c>
      <c r="D373" s="142">
        <f t="shared" si="61"/>
        <v>48884</v>
      </c>
      <c r="E373" s="134">
        <f t="shared" si="62"/>
        <v>3094.4351749759103</v>
      </c>
      <c r="F373" s="195">
        <f t="shared" si="67"/>
        <v>15.472175874879552</v>
      </c>
      <c r="G373" s="134">
        <f t="shared" si="63"/>
        <v>1543.3591895222937</v>
      </c>
      <c r="H373" s="134">
        <f t="shared" si="64"/>
        <v>1551.0759854536166</v>
      </c>
      <c r="I373" s="144">
        <f t="shared" si="65"/>
        <v>301171.53616303846</v>
      </c>
      <c r="J373" s="138">
        <f t="shared" si="66"/>
        <v>258448.92401454665</v>
      </c>
      <c r="K373" s="198">
        <f t="shared" si="60"/>
        <v>0</v>
      </c>
      <c r="L373" s="145">
        <f t="shared" si="58"/>
        <v>0</v>
      </c>
      <c r="M373" s="145">
        <v>0</v>
      </c>
    </row>
    <row r="374" spans="2:13" ht="12.75">
      <c r="B374" s="146">
        <f t="shared" si="59"/>
      </c>
      <c r="C374" s="147">
        <f t="shared" si="57"/>
        <v>360</v>
      </c>
      <c r="D374" s="148">
        <f t="shared" si="61"/>
        <v>48914</v>
      </c>
      <c r="E374" s="149">
        <f t="shared" si="62"/>
        <v>1551.0759854536166</v>
      </c>
      <c r="F374" s="199">
        <f t="shared" si="67"/>
        <v>7.755379927268083</v>
      </c>
      <c r="G374" s="149">
        <f t="shared" si="63"/>
        <v>1551.0759854699052</v>
      </c>
      <c r="H374" s="149">
        <f t="shared" si="64"/>
        <v>0</v>
      </c>
      <c r="I374" s="150">
        <f t="shared" si="65"/>
        <v>301179.29154296574</v>
      </c>
      <c r="J374" s="151">
        <f t="shared" si="66"/>
        <v>260000.00000001656</v>
      </c>
      <c r="K374" s="152">
        <f t="shared" si="60"/>
        <v>0</v>
      </c>
      <c r="L374" s="136">
        <f t="shared" si="58"/>
        <v>0</v>
      </c>
      <c r="M374" s="136">
        <v>0</v>
      </c>
    </row>
  </sheetData>
  <mergeCells count="5">
    <mergeCell ref="K6:L6"/>
    <mergeCell ref="C3:H3"/>
    <mergeCell ref="K4:L4"/>
    <mergeCell ref="F5:G5"/>
    <mergeCell ref="K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Analysis Spreadseet</dc:title>
  <dc:subject/>
  <dc:creator/>
  <cp:keywords/>
  <dc:description/>
  <cp:lastModifiedBy>Some Fellow</cp:lastModifiedBy>
  <cp:lastPrinted>2004-12-19T20:59:55Z</cp:lastPrinted>
  <dcterms:created xsi:type="dcterms:W3CDTF">2000-12-15T02:16:29Z</dcterms:created>
  <dcterms:modified xsi:type="dcterms:W3CDTF">2001-07-31T16:07:06Z</dcterms:modified>
  <cp:category/>
  <cp:version/>
  <cp:contentType/>
  <cp:contentStatus/>
</cp:coreProperties>
</file>